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8610" activeTab="3"/>
  </bookViews>
  <sheets>
    <sheet name="Лист2" sheetId="2" r:id="rId1"/>
    <sheet name="Лист1" sheetId="1" r:id="rId2"/>
    <sheet name="Лист5" sheetId="5" r:id="rId3"/>
    <sheet name="Лист3" sheetId="6" r:id="rId4"/>
  </sheets>
  <calcPr calcId="125725"/>
</workbook>
</file>

<file path=xl/calcChain.xml><?xml version="1.0" encoding="utf-8"?>
<calcChain xmlns="http://schemas.openxmlformats.org/spreadsheetml/2006/main">
  <c r="K14" i="6"/>
  <c r="K15"/>
  <c r="K16"/>
  <c r="K17"/>
  <c r="K18"/>
  <c r="K19"/>
  <c r="K20"/>
  <c r="K21"/>
  <c r="K22"/>
  <c r="K23"/>
  <c r="K24"/>
  <c r="K25"/>
  <c r="K26"/>
  <c r="K27"/>
  <c r="J14"/>
  <c r="J15"/>
  <c r="J16"/>
  <c r="J17"/>
  <c r="J18"/>
  <c r="J19"/>
  <c r="J20"/>
  <c r="J21"/>
  <c r="J22"/>
  <c r="J23"/>
  <c r="J24"/>
  <c r="J25"/>
  <c r="J26"/>
  <c r="J27"/>
  <c r="K13"/>
  <c r="J13"/>
  <c r="T15" l="1"/>
  <c r="T16"/>
  <c r="T17"/>
  <c r="T18"/>
  <c r="T19"/>
  <c r="T20"/>
  <c r="T21"/>
  <c r="T22"/>
  <c r="T23"/>
  <c r="T24"/>
  <c r="T25"/>
  <c r="T26"/>
  <c r="T27"/>
  <c r="T14"/>
  <c r="T13"/>
  <c r="R15"/>
  <c r="R16"/>
  <c r="R17"/>
  <c r="R18"/>
  <c r="R19"/>
  <c r="R20"/>
  <c r="R21"/>
  <c r="R22"/>
  <c r="R23"/>
  <c r="R24"/>
  <c r="R25"/>
  <c r="R26"/>
  <c r="R27"/>
  <c r="R14"/>
  <c r="R13"/>
  <c r="L13"/>
  <c r="M13"/>
  <c r="N13" s="1"/>
  <c r="L14"/>
  <c r="M14"/>
  <c r="M15"/>
  <c r="L15"/>
  <c r="L16"/>
  <c r="M16"/>
  <c r="L17"/>
  <c r="M17"/>
  <c r="L18"/>
  <c r="M18"/>
  <c r="M19"/>
  <c r="L19"/>
  <c r="L20"/>
  <c r="M20"/>
  <c r="L21"/>
  <c r="M21"/>
  <c r="L22"/>
  <c r="M22"/>
  <c r="L23"/>
  <c r="M23"/>
  <c r="L24"/>
  <c r="M24"/>
  <c r="M25"/>
  <c r="L25"/>
  <c r="L26"/>
  <c r="M26"/>
  <c r="L27"/>
  <c r="M27"/>
  <c r="C28"/>
  <c r="D28"/>
  <c r="E28"/>
  <c r="F28"/>
  <c r="G28"/>
  <c r="H28"/>
  <c r="I28"/>
  <c r="O28"/>
  <c r="P15" s="1"/>
  <c r="N27" l="1"/>
  <c r="P14"/>
  <c r="P26"/>
  <c r="P24"/>
  <c r="P22"/>
  <c r="P20"/>
  <c r="P18"/>
  <c r="P16"/>
  <c r="P13"/>
  <c r="P27"/>
  <c r="P25"/>
  <c r="P23"/>
  <c r="P21"/>
  <c r="P19"/>
  <c r="P17"/>
  <c r="N19"/>
  <c r="N15"/>
  <c r="N23"/>
  <c r="N21"/>
  <c r="N20"/>
  <c r="N25"/>
  <c r="N24"/>
  <c r="N17"/>
  <c r="N16"/>
  <c r="M28"/>
  <c r="N26"/>
  <c r="N22"/>
  <c r="N18"/>
  <c r="N14"/>
  <c r="K28"/>
  <c r="L28"/>
  <c r="J28"/>
  <c r="R19" i="5"/>
  <c r="R18"/>
  <c r="S18" s="1"/>
  <c r="R12"/>
  <c r="R7"/>
  <c r="S7" s="1"/>
  <c r="S12"/>
  <c r="S19"/>
  <c r="Q20"/>
  <c r="R5" s="1"/>
  <c r="U22" i="6" l="1"/>
  <c r="U16"/>
  <c r="U26"/>
  <c r="U15"/>
  <c r="U25"/>
  <c r="U19"/>
  <c r="U23"/>
  <c r="U18"/>
  <c r="U24"/>
  <c r="U14"/>
  <c r="U17"/>
  <c r="U21"/>
  <c r="U27"/>
  <c r="U20"/>
  <c r="N28"/>
  <c r="R15" i="5"/>
  <c r="S15" s="1"/>
  <c r="R17"/>
  <c r="S17" s="1"/>
  <c r="R16"/>
  <c r="S16" s="1"/>
  <c r="R14"/>
  <c r="S14" s="1"/>
  <c r="R11"/>
  <c r="S11" s="1"/>
  <c r="R13"/>
  <c r="S13" s="1"/>
  <c r="R9"/>
  <c r="S9" s="1"/>
  <c r="R8"/>
  <c r="S8" s="1"/>
  <c r="R6"/>
  <c r="S6" s="1"/>
  <c r="R10"/>
  <c r="S10" s="1"/>
  <c r="R20"/>
  <c r="T28" i="6" l="1"/>
  <c r="O20" i="5"/>
  <c r="P8" s="1"/>
  <c r="I20"/>
  <c r="H20"/>
  <c r="G20"/>
  <c r="F20"/>
  <c r="E20"/>
  <c r="D20"/>
  <c r="C20"/>
  <c r="K19"/>
  <c r="M19" s="1"/>
  <c r="J19"/>
  <c r="L19" s="1"/>
  <c r="N19" s="1"/>
  <c r="K18"/>
  <c r="M18" s="1"/>
  <c r="J18"/>
  <c r="L18" s="1"/>
  <c r="N18" s="1"/>
  <c r="K17"/>
  <c r="M17" s="1"/>
  <c r="J17"/>
  <c r="L17" s="1"/>
  <c r="N17" s="1"/>
  <c r="K16"/>
  <c r="M16" s="1"/>
  <c r="J16"/>
  <c r="L16" s="1"/>
  <c r="N16" s="1"/>
  <c r="K15"/>
  <c r="M15" s="1"/>
  <c r="J15"/>
  <c r="L15" s="1"/>
  <c r="N15" s="1"/>
  <c r="K14"/>
  <c r="M14" s="1"/>
  <c r="J14"/>
  <c r="L14" s="1"/>
  <c r="N14" s="1"/>
  <c r="K13"/>
  <c r="M13" s="1"/>
  <c r="J13"/>
  <c r="L13" s="1"/>
  <c r="N13" s="1"/>
  <c r="K12"/>
  <c r="M12" s="1"/>
  <c r="J12"/>
  <c r="L12" s="1"/>
  <c r="N12" s="1"/>
  <c r="K11"/>
  <c r="M11" s="1"/>
  <c r="J11"/>
  <c r="L11" s="1"/>
  <c r="N11" s="1"/>
  <c r="K10"/>
  <c r="M10" s="1"/>
  <c r="J10"/>
  <c r="L10" s="1"/>
  <c r="N10" s="1"/>
  <c r="K9"/>
  <c r="M9" s="1"/>
  <c r="J9"/>
  <c r="L9" s="1"/>
  <c r="N9" s="1"/>
  <c r="K8"/>
  <c r="M8" s="1"/>
  <c r="J8"/>
  <c r="L8" s="1"/>
  <c r="N8" s="1"/>
  <c r="K7"/>
  <c r="M7" s="1"/>
  <c r="J7"/>
  <c r="L7" s="1"/>
  <c r="N7" s="1"/>
  <c r="K6"/>
  <c r="M6" s="1"/>
  <c r="J6"/>
  <c r="L6" s="1"/>
  <c r="N6" s="1"/>
  <c r="K5"/>
  <c r="K20" s="1"/>
  <c r="J5"/>
  <c r="J20" s="1"/>
  <c r="G6" i="1"/>
  <c r="I6"/>
  <c r="G7"/>
  <c r="I7"/>
  <c r="G8"/>
  <c r="I8"/>
  <c r="G9"/>
  <c r="I9"/>
  <c r="G10"/>
  <c r="I10"/>
  <c r="G11"/>
  <c r="I11"/>
  <c r="G12"/>
  <c r="I12"/>
  <c r="G13"/>
  <c r="I13"/>
  <c r="G14"/>
  <c r="I14"/>
  <c r="G15"/>
  <c r="I15"/>
  <c r="G16"/>
  <c r="I16"/>
  <c r="G17"/>
  <c r="I17"/>
  <c r="G18"/>
  <c r="I18"/>
  <c r="G19"/>
  <c r="I19"/>
  <c r="G20"/>
  <c r="I20"/>
  <c r="C21"/>
  <c r="D21"/>
  <c r="E21"/>
  <c r="G21"/>
  <c r="H21"/>
  <c r="I21"/>
  <c r="C45"/>
  <c r="E48"/>
  <c r="E30" s="1"/>
  <c r="CJ21"/>
  <c r="AR19"/>
  <c r="AR18"/>
  <c r="AR15"/>
  <c r="AR14"/>
  <c r="AR12"/>
  <c r="AR9"/>
  <c r="AR6"/>
  <c r="AK20"/>
  <c r="AK19"/>
  <c r="AK18"/>
  <c r="AK17"/>
  <c r="AK15"/>
  <c r="AK14"/>
  <c r="AK13"/>
  <c r="AK12"/>
  <c r="AK11"/>
  <c r="AK9"/>
  <c r="AK8"/>
  <c r="AK7"/>
  <c r="AK6"/>
  <c r="P20"/>
  <c r="P19"/>
  <c r="P18"/>
  <c r="P17"/>
  <c r="P15"/>
  <c r="P14"/>
  <c r="P13"/>
  <c r="P12"/>
  <c r="P11"/>
  <c r="P9"/>
  <c r="P8"/>
  <c r="P7"/>
  <c r="P6"/>
  <c r="P6" i="5" l="1"/>
  <c r="P19"/>
  <c r="P18"/>
  <c r="P17"/>
  <c r="P16"/>
  <c r="P15"/>
  <c r="P14"/>
  <c r="P12"/>
  <c r="P11"/>
  <c r="P10"/>
  <c r="L5"/>
  <c r="M5"/>
  <c r="M20" s="1"/>
  <c r="E44" i="1"/>
  <c r="E43"/>
  <c r="E42"/>
  <c r="E41"/>
  <c r="E40"/>
  <c r="E39"/>
  <c r="E38"/>
  <c r="E37"/>
  <c r="E36"/>
  <c r="E35"/>
  <c r="E34"/>
  <c r="E33"/>
  <c r="E32"/>
  <c r="E31"/>
  <c r="E45" s="1"/>
  <c r="CH21"/>
  <c r="BY21"/>
  <c r="BK21"/>
  <c r="BO21" s="1"/>
  <c r="AP21"/>
  <c r="AO21"/>
  <c r="AI21"/>
  <c r="AH21"/>
  <c r="AB21"/>
  <c r="AA21"/>
  <c r="U21"/>
  <c r="T21"/>
  <c r="N21"/>
  <c r="CB20"/>
  <c r="BX20"/>
  <c r="BR20"/>
  <c r="BO20"/>
  <c r="BE20"/>
  <c r="AY20"/>
  <c r="CB19"/>
  <c r="BX19"/>
  <c r="BR19"/>
  <c r="BO19"/>
  <c r="BE19"/>
  <c r="AY19"/>
  <c r="CB18"/>
  <c r="BX18"/>
  <c r="BR18"/>
  <c r="BO18"/>
  <c r="BE18"/>
  <c r="AY18"/>
  <c r="BX17"/>
  <c r="BR17"/>
  <c r="BO17"/>
  <c r="BE17"/>
  <c r="AY17"/>
  <c r="CB16"/>
  <c r="BX16"/>
  <c r="BR16"/>
  <c r="BO16"/>
  <c r="BE16"/>
  <c r="AY16"/>
  <c r="CB15"/>
  <c r="BX15"/>
  <c r="BR15"/>
  <c r="BO15"/>
  <c r="BE15"/>
  <c r="AY15"/>
  <c r="CB14"/>
  <c r="BX14"/>
  <c r="BR14"/>
  <c r="BO14"/>
  <c r="BE14"/>
  <c r="AY14"/>
  <c r="CB13"/>
  <c r="BX13"/>
  <c r="BR13"/>
  <c r="BO13"/>
  <c r="BE13"/>
  <c r="AY13"/>
  <c r="CB12"/>
  <c r="BX12"/>
  <c r="BR12"/>
  <c r="BO12"/>
  <c r="BE12"/>
  <c r="AY12"/>
  <c r="CB11"/>
  <c r="BX11"/>
  <c r="BR11"/>
  <c r="BO11"/>
  <c r="BE11"/>
  <c r="AY11"/>
  <c r="BX10"/>
  <c r="BR10"/>
  <c r="BO10"/>
  <c r="BE10"/>
  <c r="AY10"/>
  <c r="CB9"/>
  <c r="BX9"/>
  <c r="BR9"/>
  <c r="BO9"/>
  <c r="BE9"/>
  <c r="AY9"/>
  <c r="CB8"/>
  <c r="BX8"/>
  <c r="BR8"/>
  <c r="BO8"/>
  <c r="BE8"/>
  <c r="AY8"/>
  <c r="CB7"/>
  <c r="BX7"/>
  <c r="BR7"/>
  <c r="BO7"/>
  <c r="BE7"/>
  <c r="AY7"/>
  <c r="CF6"/>
  <c r="CB6"/>
  <c r="CB21" s="1"/>
  <c r="BX6"/>
  <c r="BR6"/>
  <c r="BS6" s="1"/>
  <c r="BO6"/>
  <c r="BE6"/>
  <c r="AY6"/>
  <c r="M21"/>
  <c r="P20" i="5" l="1"/>
  <c r="L20"/>
  <c r="N5"/>
  <c r="S5" s="1"/>
  <c r="BS7" i="1"/>
  <c r="CC7"/>
  <c r="BS8"/>
  <c r="CC8"/>
  <c r="BS9"/>
  <c r="CC9"/>
  <c r="CC10"/>
  <c r="BS11"/>
  <c r="CC11"/>
  <c r="BS12"/>
  <c r="CC12"/>
  <c r="BS13"/>
  <c r="CC13"/>
  <c r="CC6"/>
  <c r="BS10"/>
  <c r="BS14"/>
  <c r="CC14"/>
  <c r="BS15"/>
  <c r="CC15"/>
  <c r="BS16"/>
  <c r="CC16"/>
  <c r="CC17"/>
  <c r="BS18"/>
  <c r="CC18"/>
  <c r="BS19"/>
  <c r="CC19"/>
  <c r="BS20"/>
  <c r="CC20"/>
  <c r="BS17"/>
  <c r="BR21"/>
  <c r="BS21" s="1"/>
  <c r="S20" i="5" l="1"/>
  <c r="T5" s="1"/>
  <c r="N20"/>
  <c r="CA20" i="1"/>
  <c r="BZ20"/>
  <c r="CD20" s="1"/>
  <c r="J20"/>
  <c r="CA19"/>
  <c r="BZ19"/>
  <c r="CD19" s="1"/>
  <c r="J19"/>
  <c r="CA18"/>
  <c r="BZ18"/>
  <c r="CD18" s="1"/>
  <c r="J18"/>
  <c r="CA17"/>
  <c r="BZ17"/>
  <c r="CD17" s="1"/>
  <c r="J17"/>
  <c r="CA16"/>
  <c r="BZ16"/>
  <c r="CD16" s="1"/>
  <c r="J16"/>
  <c r="CA15"/>
  <c r="BZ15"/>
  <c r="CD15" s="1"/>
  <c r="J15"/>
  <c r="CA14"/>
  <c r="BZ14"/>
  <c r="CD14" s="1"/>
  <c r="J14"/>
  <c r="CA13"/>
  <c r="BZ13"/>
  <c r="CD13" s="1"/>
  <c r="J13"/>
  <c r="CA12"/>
  <c r="BZ12"/>
  <c r="CD12" s="1"/>
  <c r="J12"/>
  <c r="CA11"/>
  <c r="BZ11"/>
  <c r="CD11" s="1"/>
  <c r="J11"/>
  <c r="CA10"/>
  <c r="BZ10"/>
  <c r="CD10" s="1"/>
  <c r="J10"/>
  <c r="CA9"/>
  <c r="BZ9"/>
  <c r="CD9" s="1"/>
  <c r="J9"/>
  <c r="CA8"/>
  <c r="BZ8"/>
  <c r="CD8" s="1"/>
  <c r="J8"/>
  <c r="CA7"/>
  <c r="BZ7"/>
  <c r="CD7" s="1"/>
  <c r="J7"/>
  <c r="CA6"/>
  <c r="BZ6"/>
  <c r="CD6" s="1"/>
  <c r="J6"/>
  <c r="AD6" s="1"/>
  <c r="CC21"/>
  <c r="AD7" l="1"/>
  <c r="O7"/>
  <c r="AD8"/>
  <c r="O8"/>
  <c r="AD9"/>
  <c r="O9"/>
  <c r="AD10"/>
  <c r="AK10"/>
  <c r="P10"/>
  <c r="O10"/>
  <c r="AD11"/>
  <c r="O11"/>
  <c r="AD12"/>
  <c r="O12"/>
  <c r="AD13"/>
  <c r="W13"/>
  <c r="O13"/>
  <c r="AD14"/>
  <c r="O14"/>
  <c r="AD15"/>
  <c r="W15"/>
  <c r="O15"/>
  <c r="AD16"/>
  <c r="AK16"/>
  <c r="P16"/>
  <c r="O16"/>
  <c r="AD17"/>
  <c r="O17"/>
  <c r="AD18"/>
  <c r="O18"/>
  <c r="AD19"/>
  <c r="O19"/>
  <c r="AD20"/>
  <c r="O20"/>
  <c r="J21"/>
  <c r="AU6"/>
  <c r="AQ6"/>
  <c r="AJ6"/>
  <c r="AC6"/>
  <c r="V6"/>
  <c r="O6"/>
  <c r="CA21"/>
  <c r="CD21" s="1"/>
  <c r="AQ7"/>
  <c r="AJ7"/>
  <c r="AC7"/>
  <c r="V7"/>
  <c r="AQ8"/>
  <c r="AJ8"/>
  <c r="AC8"/>
  <c r="V8"/>
  <c r="AQ9"/>
  <c r="AJ9"/>
  <c r="AC9"/>
  <c r="V9"/>
  <c r="AQ10"/>
  <c r="AJ10"/>
  <c r="AC10"/>
  <c r="V10"/>
  <c r="AQ11"/>
  <c r="AJ11"/>
  <c r="AC11"/>
  <c r="V11"/>
  <c r="AQ12"/>
  <c r="AJ12"/>
  <c r="AC12"/>
  <c r="V12"/>
  <c r="AQ13"/>
  <c r="AJ13"/>
  <c r="AC13"/>
  <c r="V13"/>
  <c r="AQ14"/>
  <c r="AJ14"/>
  <c r="AC14"/>
  <c r="V14"/>
  <c r="AQ15"/>
  <c r="AJ15"/>
  <c r="AC15"/>
  <c r="V15"/>
  <c r="AQ16"/>
  <c r="AJ16"/>
  <c r="AC16"/>
  <c r="V16"/>
  <c r="AQ17"/>
  <c r="AJ17"/>
  <c r="AC17"/>
  <c r="V17"/>
  <c r="AQ18"/>
  <c r="AJ18"/>
  <c r="AC18"/>
  <c r="V18"/>
  <c r="AQ19"/>
  <c r="AJ19"/>
  <c r="AC19"/>
  <c r="V19"/>
  <c r="AQ20"/>
  <c r="AJ20"/>
  <c r="AC20"/>
  <c r="V20"/>
  <c r="U6" i="5" l="1"/>
  <c r="W6" s="1"/>
  <c r="U7"/>
  <c r="W7" s="1"/>
  <c r="U8"/>
  <c r="W8" s="1"/>
  <c r="U9"/>
  <c r="W9" s="1"/>
  <c r="U10"/>
  <c r="W10" s="1"/>
  <c r="U11"/>
  <c r="W11" s="1"/>
  <c r="U12"/>
  <c r="W12" s="1"/>
  <c r="U13"/>
  <c r="W13" s="1"/>
  <c r="U14"/>
  <c r="W14" s="1"/>
  <c r="U15"/>
  <c r="W15" s="1"/>
  <c r="U16"/>
  <c r="W16" s="1"/>
  <c r="U17"/>
  <c r="W17" s="1"/>
  <c r="U18"/>
  <c r="W18" s="1"/>
  <c r="U19"/>
  <c r="W19" s="1"/>
  <c r="U5"/>
  <c r="AD21" i="1"/>
  <c r="P21"/>
  <c r="AR21"/>
  <c r="AK21"/>
  <c r="W21"/>
  <c r="AN21"/>
  <c r="AG21"/>
  <c r="Z21"/>
  <c r="S21"/>
  <c r="L21"/>
  <c r="AV21" s="1"/>
  <c r="AN20"/>
  <c r="AG20"/>
  <c r="Z20"/>
  <c r="S20"/>
  <c r="L20"/>
  <c r="AV20" s="1"/>
  <c r="AN19"/>
  <c r="AG19"/>
  <c r="Z19"/>
  <c r="S19"/>
  <c r="L19"/>
  <c r="AV19" s="1"/>
  <c r="AN18"/>
  <c r="AG18"/>
  <c r="Z18"/>
  <c r="S18"/>
  <c r="L18"/>
  <c r="AV18" s="1"/>
  <c r="AN17"/>
  <c r="AG17"/>
  <c r="Z17"/>
  <c r="S17"/>
  <c r="L17"/>
  <c r="AV17" s="1"/>
  <c r="AN16"/>
  <c r="AG16"/>
  <c r="Z16"/>
  <c r="S16"/>
  <c r="L16"/>
  <c r="AV16" s="1"/>
  <c r="AN15"/>
  <c r="AG15"/>
  <c r="Z15"/>
  <c r="S15"/>
  <c r="L15"/>
  <c r="AV15" s="1"/>
  <c r="AN14"/>
  <c r="AG14"/>
  <c r="Z14"/>
  <c r="S14"/>
  <c r="L14"/>
  <c r="AV14" s="1"/>
  <c r="AN13"/>
  <c r="AG13"/>
  <c r="Z13"/>
  <c r="S13"/>
  <c r="L13"/>
  <c r="AV13" s="1"/>
  <c r="AN12"/>
  <c r="AG12"/>
  <c r="Z12"/>
  <c r="S12"/>
  <c r="L12"/>
  <c r="AV12" s="1"/>
  <c r="AN11"/>
  <c r="AG11"/>
  <c r="Z11"/>
  <c r="S11"/>
  <c r="L11"/>
  <c r="AV11" s="1"/>
  <c r="AN10"/>
  <c r="AG10"/>
  <c r="Z10"/>
  <c r="S10"/>
  <c r="L10"/>
  <c r="AV10" s="1"/>
  <c r="AN9"/>
  <c r="AG9"/>
  <c r="Z9"/>
  <c r="S9"/>
  <c r="L9"/>
  <c r="AV9" s="1"/>
  <c r="AN8"/>
  <c r="AG8"/>
  <c r="Z8"/>
  <c r="S8"/>
  <c r="L8"/>
  <c r="AV8" s="1"/>
  <c r="AN7"/>
  <c r="AG7"/>
  <c r="Z7"/>
  <c r="S7"/>
  <c r="L7"/>
  <c r="AV7" s="1"/>
  <c r="AN6"/>
  <c r="AG6"/>
  <c r="Z6"/>
  <c r="S6"/>
  <c r="L6"/>
  <c r="AV6" s="1"/>
  <c r="O21"/>
  <c r="V21"/>
  <c r="AC21"/>
  <c r="AJ21"/>
  <c r="AQ21"/>
  <c r="BI6"/>
  <c r="BG6"/>
  <c r="U20" i="5" l="1"/>
  <c r="W20" s="1"/>
  <c r="W5"/>
  <c r="BJ6" i="1"/>
  <c r="BT6" s="1"/>
  <c r="BJ20"/>
  <c r="BT20" s="1"/>
  <c r="BJ19"/>
  <c r="BT19" s="1"/>
  <c r="BJ18"/>
  <c r="BT18" s="1"/>
  <c r="BJ17"/>
  <c r="BT17" s="1"/>
  <c r="BJ16"/>
  <c r="BT16" s="1"/>
  <c r="BJ15"/>
  <c r="BT15" s="1"/>
  <c r="BJ14"/>
  <c r="BT14" s="1"/>
  <c r="BJ13"/>
  <c r="BT13" s="1"/>
  <c r="BJ12"/>
  <c r="BT12" s="1"/>
  <c r="BJ11"/>
  <c r="BT11" s="1"/>
  <c r="BJ10"/>
  <c r="BT10" s="1"/>
  <c r="BJ9"/>
  <c r="BT9" s="1"/>
  <c r="BJ8"/>
  <c r="BT8" s="1"/>
  <c r="BJ7"/>
  <c r="BT7" s="1"/>
  <c r="CE7" s="1"/>
  <c r="BJ21"/>
  <c r="AM21"/>
  <c r="AM20"/>
  <c r="AM19"/>
  <c r="AM18"/>
  <c r="AM17"/>
  <c r="AM16"/>
  <c r="AM15"/>
  <c r="AM14"/>
  <c r="AM13"/>
  <c r="AM12"/>
  <c r="AM11"/>
  <c r="AM10"/>
  <c r="AM9"/>
  <c r="AM8"/>
  <c r="AM7"/>
  <c r="AM6"/>
  <c r="AF21"/>
  <c r="AF20"/>
  <c r="AF19"/>
  <c r="AF18"/>
  <c r="AF17"/>
  <c r="AF16"/>
  <c r="AF15"/>
  <c r="AF14"/>
  <c r="AF13"/>
  <c r="AF12"/>
  <c r="AF11"/>
  <c r="AF10"/>
  <c r="AF9"/>
  <c r="AF8"/>
  <c r="AF7"/>
  <c r="AF6"/>
  <c r="Y21"/>
  <c r="Y20"/>
  <c r="Y19"/>
  <c r="Y18"/>
  <c r="Y17"/>
  <c r="Y16"/>
  <c r="Y15"/>
  <c r="Y14"/>
  <c r="Y13"/>
  <c r="Y12"/>
  <c r="Y11"/>
  <c r="Y10"/>
  <c r="Y9"/>
  <c r="Y8"/>
  <c r="Y7"/>
  <c r="Y6"/>
  <c r="R21"/>
  <c r="R20"/>
  <c r="R19"/>
  <c r="R18"/>
  <c r="R17"/>
  <c r="R16"/>
  <c r="R15"/>
  <c r="R14"/>
  <c r="R13"/>
  <c r="R12"/>
  <c r="R11"/>
  <c r="R10"/>
  <c r="R9"/>
  <c r="R8"/>
  <c r="R7"/>
  <c r="R6"/>
  <c r="K21"/>
  <c r="AT21" s="1"/>
  <c r="AZ21" s="1"/>
  <c r="K20"/>
  <c r="AT20" s="1"/>
  <c r="AZ20" s="1"/>
  <c r="K19"/>
  <c r="AT19" s="1"/>
  <c r="AZ19" s="1"/>
  <c r="K18"/>
  <c r="AT18" s="1"/>
  <c r="AZ18" s="1"/>
  <c r="K17"/>
  <c r="AT17" s="1"/>
  <c r="AZ17" s="1"/>
  <c r="K16"/>
  <c r="AT16" s="1"/>
  <c r="AZ16" s="1"/>
  <c r="K15"/>
  <c r="AT15" s="1"/>
  <c r="AZ15" s="1"/>
  <c r="K14"/>
  <c r="AT14" s="1"/>
  <c r="AZ14" s="1"/>
  <c r="K13"/>
  <c r="AT13" s="1"/>
  <c r="AZ13" s="1"/>
  <c r="K12"/>
  <c r="AT12" s="1"/>
  <c r="AZ12" s="1"/>
  <c r="K11"/>
  <c r="AT11" s="1"/>
  <c r="AZ11" s="1"/>
  <c r="K10"/>
  <c r="AT10" s="1"/>
  <c r="AZ10" s="1"/>
  <c r="K9"/>
  <c r="AT9" s="1"/>
  <c r="AZ9" s="1"/>
  <c r="K8"/>
  <c r="AT8" s="1"/>
  <c r="AZ8" s="1"/>
  <c r="K7"/>
  <c r="AT7" s="1"/>
  <c r="AZ7" s="1"/>
  <c r="BA7" s="1"/>
  <c r="CI7" s="1"/>
  <c r="CK7" s="1"/>
  <c r="K6"/>
  <c r="AT6" s="1"/>
  <c r="AZ6" s="1"/>
  <c r="CE6" l="1"/>
  <c r="CE21"/>
  <c r="BA6"/>
  <c r="BA21"/>
  <c r="CE8"/>
  <c r="BA8" s="1"/>
  <c r="CI8" s="1"/>
  <c r="CK8" s="1"/>
  <c r="CE9"/>
  <c r="BA9" s="1"/>
  <c r="CI9" s="1"/>
  <c r="CK9" s="1"/>
  <c r="CE10"/>
  <c r="BA10" s="1"/>
  <c r="CI10" s="1"/>
  <c r="CK10" s="1"/>
  <c r="CE11"/>
  <c r="BA11" s="1"/>
  <c r="CI11" s="1"/>
  <c r="CK11" s="1"/>
  <c r="CE12"/>
  <c r="BA12" s="1"/>
  <c r="CI12" s="1"/>
  <c r="CK12" s="1"/>
  <c r="CE13"/>
  <c r="BA13" s="1"/>
  <c r="CI13" s="1"/>
  <c r="CK13" s="1"/>
  <c r="CE14"/>
  <c r="BA14" s="1"/>
  <c r="CI14" s="1"/>
  <c r="CK14" s="1"/>
  <c r="CE15"/>
  <c r="BA15" s="1"/>
  <c r="CI15" s="1"/>
  <c r="CK15" s="1"/>
  <c r="CE16"/>
  <c r="BA16" s="1"/>
  <c r="CI16" s="1"/>
  <c r="CK16" s="1"/>
  <c r="CE17"/>
  <c r="BA17" s="1"/>
  <c r="CI17" s="1"/>
  <c r="CK17" s="1"/>
  <c r="CE18"/>
  <c r="BA18" s="1"/>
  <c r="CI18" s="1"/>
  <c r="CK18" s="1"/>
  <c r="CE19"/>
  <c r="BA19" s="1"/>
  <c r="CI19" s="1"/>
  <c r="CK19" s="1"/>
  <c r="CE20"/>
  <c r="BA20" s="1"/>
  <c r="CI20" s="1"/>
  <c r="CI6" l="1"/>
  <c r="CK6" s="1"/>
  <c r="CI21"/>
  <c r="CK20"/>
  <c r="P28" i="6"/>
  <c r="R28"/>
  <c r="U13"/>
  <c r="U28" s="1"/>
  <c r="V13" s="1"/>
  <c r="W15" l="1"/>
  <c r="Y15" s="1"/>
  <c r="W17"/>
  <c r="Y17" s="1"/>
  <c r="W19"/>
  <c r="Y19" s="1"/>
  <c r="W21"/>
  <c r="Y21" s="1"/>
  <c r="W23"/>
  <c r="Y23" s="1"/>
  <c r="W25"/>
  <c r="Y25" s="1"/>
  <c r="W27"/>
  <c r="Y27" s="1"/>
  <c r="W13"/>
  <c r="W16"/>
  <c r="Y16" s="1"/>
  <c r="W18"/>
  <c r="Y18" s="1"/>
  <c r="W20"/>
  <c r="Y20" s="1"/>
  <c r="W22"/>
  <c r="Y22" s="1"/>
  <c r="W24"/>
  <c r="Y24" s="1"/>
  <c r="W26"/>
  <c r="Y26" s="1"/>
  <c r="W14"/>
  <c r="Y14" s="1"/>
  <c r="Y13" l="1"/>
  <c r="W28"/>
  <c r="Y28"/>
</calcChain>
</file>

<file path=xl/sharedStrings.xml><?xml version="1.0" encoding="utf-8"?>
<sst xmlns="http://schemas.openxmlformats.org/spreadsheetml/2006/main" count="258" uniqueCount="151">
  <si>
    <t>РАСПРЕДЕЛЕНИЕ ДОТАЦИЙ НА ВЫРАВНИВАНИЕ БЮДЖЕТНОЙ ОБЕСПЕЧЕННОСТИ ПОСЕЛЕНИЙ ИЗ БЮДЖЕТА МУНИЦИПАЛЬНОГО РАЙОНА</t>
  </si>
  <si>
    <r>
      <t>Приложение 7</t>
    </r>
    <r>
      <rPr>
        <sz val="10"/>
        <color indexed="63"/>
        <rFont val="Arial Cyr"/>
        <charset val="204"/>
      </rPr>
      <t>. Порядок определения объемов районных фондов финансовой поддержки поселений и распределения дотаций на выравнивание бюджетной обеспеченности поселений из бюджета муниципального района ЗАКОН Иркутской области от 23.07.2008 N 56-оз (с изм., вступивш.в силу от 26.11.2008)</t>
    </r>
  </si>
  <si>
    <t>(тыс. рублей)</t>
  </si>
  <si>
    <t>№</t>
  </si>
  <si>
    <t>Поселение</t>
  </si>
  <si>
    <t>отчетный фин.год</t>
  </si>
  <si>
    <r>
      <t>Н</t>
    </r>
    <r>
      <rPr>
        <b/>
        <vertAlign val="subscript"/>
        <sz val="10"/>
        <rFont val="Arial Cyr"/>
        <charset val="204"/>
      </rPr>
      <t>i</t>
    </r>
  </si>
  <si>
    <t>НДФЛ</t>
  </si>
  <si>
    <t>ЕСХН</t>
  </si>
  <si>
    <t>ННИФЛ</t>
  </si>
  <si>
    <t>ЗН</t>
  </si>
  <si>
    <t>Государственная пошлина</t>
  </si>
  <si>
    <r>
      <t>НП</t>
    </r>
    <r>
      <rPr>
        <b/>
        <vertAlign val="subscript"/>
        <sz val="10"/>
        <rFont val="Arial Cyr"/>
        <charset val="204"/>
      </rPr>
      <t>i</t>
    </r>
    <r>
      <rPr>
        <b/>
        <sz val="10"/>
        <rFont val="Arial Cyr"/>
        <charset val="204"/>
      </rPr>
      <t>*</t>
    </r>
  </si>
  <si>
    <t>НП*</t>
  </si>
  <si>
    <r>
      <t>РП</t>
    </r>
    <r>
      <rPr>
        <b/>
        <vertAlign val="subscript"/>
        <sz val="10"/>
        <rFont val="Arial Cyr"/>
        <charset val="204"/>
      </rPr>
      <t>i</t>
    </r>
    <r>
      <rPr>
        <b/>
        <sz val="10"/>
        <rFont val="Arial Cyr"/>
        <charset val="204"/>
      </rPr>
      <t>*</t>
    </r>
  </si>
  <si>
    <r>
      <t>К</t>
    </r>
    <r>
      <rPr>
        <b/>
        <vertAlign val="subscript"/>
        <sz val="10"/>
        <rFont val="Arial Cyr"/>
        <charset val="204"/>
      </rPr>
      <t xml:space="preserve">i,1 </t>
    </r>
    <r>
      <rPr>
        <b/>
        <sz val="10"/>
        <rFont val="Arial Cyr"/>
        <charset val="204"/>
      </rPr>
      <t>(1 для г.п.; = 0,8 для с.п.)</t>
    </r>
  </si>
  <si>
    <r>
      <t>К</t>
    </r>
    <r>
      <rPr>
        <b/>
        <vertAlign val="subscript"/>
        <sz val="10"/>
        <rFont val="Arial Cyr"/>
        <charset val="204"/>
      </rPr>
      <t>i,2</t>
    </r>
    <r>
      <rPr>
        <b/>
        <sz val="10"/>
        <rFont val="Arial Cyr"/>
        <charset val="204"/>
      </rPr>
      <t xml:space="preserve"> (рассчит-ся по пок-лям по выбору ОМС МР</t>
    </r>
  </si>
  <si>
    <r>
      <t>К</t>
    </r>
    <r>
      <rPr>
        <b/>
        <vertAlign val="subscript"/>
        <sz val="10"/>
        <rFont val="Arial Cyr"/>
        <charset val="204"/>
      </rPr>
      <t>i</t>
    </r>
  </si>
  <si>
    <r>
      <t>ИНП</t>
    </r>
    <r>
      <rPr>
        <b/>
        <vertAlign val="subscript"/>
        <sz val="10"/>
        <rFont val="Arial Cyr"/>
        <charset val="204"/>
      </rPr>
      <t>i</t>
    </r>
  </si>
  <si>
    <r>
      <t>БО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исх</t>
    </r>
  </si>
  <si>
    <t>А1</t>
  </si>
  <si>
    <t>А2</t>
  </si>
  <si>
    <t>А3</t>
  </si>
  <si>
    <t>А</t>
  </si>
  <si>
    <r>
      <t>РК</t>
    </r>
    <r>
      <rPr>
        <b/>
        <vertAlign val="subscript"/>
        <sz val="10"/>
        <rFont val="Arial Cyr"/>
        <charset val="204"/>
      </rPr>
      <t>i</t>
    </r>
  </si>
  <si>
    <t>РК</t>
  </si>
  <si>
    <r>
      <t>К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ОТД</t>
    </r>
  </si>
  <si>
    <r>
      <t>К</t>
    </r>
    <r>
      <rPr>
        <b/>
        <vertAlign val="superscript"/>
        <sz val="10"/>
        <rFont val="Arial Cyr"/>
        <charset val="204"/>
      </rPr>
      <t>ОТД</t>
    </r>
  </si>
  <si>
    <r>
      <t>К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ЗП</t>
    </r>
  </si>
  <si>
    <r>
      <t>R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жку</t>
    </r>
  </si>
  <si>
    <r>
      <t>R</t>
    </r>
    <r>
      <rPr>
        <b/>
        <vertAlign val="superscript"/>
        <sz val="10"/>
        <rFont val="Arial Cyr"/>
        <charset val="204"/>
      </rPr>
      <t>жку</t>
    </r>
  </si>
  <si>
    <r>
      <t>R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КАП</t>
    </r>
  </si>
  <si>
    <r>
      <t>R</t>
    </r>
    <r>
      <rPr>
        <b/>
        <vertAlign val="superscript"/>
        <sz val="10"/>
        <rFont val="Arial Cyr"/>
        <charset val="204"/>
      </rPr>
      <t>КАП</t>
    </r>
  </si>
  <si>
    <r>
      <t>К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жку</t>
    </r>
  </si>
  <si>
    <r>
      <t>К</t>
    </r>
    <r>
      <rPr>
        <b/>
        <vertAlign val="superscript"/>
        <sz val="10"/>
        <rFont val="Arial"/>
        <family val="2"/>
        <charset val="204"/>
      </rPr>
      <t xml:space="preserve">ТР </t>
    </r>
    <r>
      <rPr>
        <b/>
        <sz val="10"/>
        <rFont val="Arial"/>
        <family val="2"/>
        <charset val="204"/>
      </rPr>
      <t>(Для районов Крайнего Севера и правненых к ни = 1,5)</t>
    </r>
  </si>
  <si>
    <r>
      <t>Н</t>
    </r>
    <r>
      <rPr>
        <b/>
        <vertAlign val="superscript"/>
        <sz val="10"/>
        <rFont val="Arial Cyr"/>
        <charset val="204"/>
      </rPr>
      <t>ТР</t>
    </r>
    <r>
      <rPr>
        <b/>
        <vertAlign val="subscript"/>
        <sz val="10"/>
        <rFont val="Arial Cyr"/>
        <charset val="204"/>
      </rPr>
      <t>I</t>
    </r>
  </si>
  <si>
    <r>
      <t>Н</t>
    </r>
    <r>
      <rPr>
        <b/>
        <vertAlign val="subscript"/>
        <sz val="10"/>
        <rFont val="Arial Cyr"/>
        <charset val="204"/>
      </rPr>
      <t>ij</t>
    </r>
  </si>
  <si>
    <r>
      <t>К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цен</t>
    </r>
  </si>
  <si>
    <r>
      <t>К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стоим</t>
    </r>
  </si>
  <si>
    <t>В1</t>
  </si>
  <si>
    <t>В2</t>
  </si>
  <si>
    <t>В3</t>
  </si>
  <si>
    <t>В</t>
  </si>
  <si>
    <t>N</t>
  </si>
  <si>
    <r>
      <t>К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М</t>
    </r>
  </si>
  <si>
    <r>
      <t>К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У</t>
    </r>
  </si>
  <si>
    <r>
      <t>Н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500</t>
    </r>
  </si>
  <si>
    <r>
      <t>К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РАС</t>
    </r>
  </si>
  <si>
    <r>
      <t>К</t>
    </r>
    <r>
      <rPr>
        <b/>
        <vertAlign val="subscript"/>
        <sz val="10"/>
        <rFont val="Arial Cyr"/>
        <charset val="204"/>
      </rPr>
      <t>i</t>
    </r>
    <r>
      <rPr>
        <b/>
        <vertAlign val="superscript"/>
        <sz val="10"/>
        <rFont val="Arial Cyr"/>
        <charset val="204"/>
      </rPr>
      <t>стр</t>
    </r>
  </si>
  <si>
    <r>
      <t>ИБР</t>
    </r>
    <r>
      <rPr>
        <b/>
        <vertAlign val="subscript"/>
        <sz val="10"/>
        <rFont val="Arial Cyr"/>
        <charset val="204"/>
      </rPr>
      <t>i</t>
    </r>
  </si>
  <si>
    <t>ПП</t>
  </si>
  <si>
    <t>БО</t>
  </si>
  <si>
    <t>ДВБОМР(ГО)</t>
  </si>
  <si>
    <r>
      <t>НC</t>
    </r>
    <r>
      <rPr>
        <b/>
        <vertAlign val="subscript"/>
        <sz val="10"/>
        <rFont val="Arial Cyr"/>
        <charset val="204"/>
      </rPr>
      <t>ij</t>
    </r>
  </si>
  <si>
    <r>
      <t>НМТ</t>
    </r>
    <r>
      <rPr>
        <b/>
        <vertAlign val="subscript"/>
        <sz val="10"/>
        <rFont val="Arial Cyr"/>
        <charset val="204"/>
      </rPr>
      <t>j</t>
    </r>
  </si>
  <si>
    <r>
      <t>Н</t>
    </r>
    <r>
      <rPr>
        <b/>
        <vertAlign val="subscript"/>
        <sz val="10"/>
        <rFont val="Arial Cyr"/>
        <charset val="204"/>
      </rPr>
      <t>j</t>
    </r>
  </si>
  <si>
    <t>k</t>
  </si>
  <si>
    <r>
      <t>НСC</t>
    </r>
    <r>
      <rPr>
        <b/>
        <vertAlign val="subscript"/>
        <sz val="10"/>
        <rFont val="Arial Cyr"/>
        <charset val="204"/>
      </rPr>
      <t>скор.ij</t>
    </r>
  </si>
  <si>
    <r>
      <t>НГ</t>
    </r>
    <r>
      <rPr>
        <b/>
        <vertAlign val="subscript"/>
        <sz val="10"/>
        <rFont val="Arial Cyr"/>
        <charset val="204"/>
      </rPr>
      <t>ij</t>
    </r>
  </si>
  <si>
    <r>
      <t>РН</t>
    </r>
    <r>
      <rPr>
        <b/>
        <vertAlign val="subscript"/>
        <sz val="9"/>
        <rFont val="Arial Cyr"/>
        <charset val="204"/>
      </rPr>
      <t>ОТЧ</t>
    </r>
    <r>
      <rPr>
        <b/>
        <vertAlign val="subscript"/>
        <sz val="10"/>
        <rFont val="Arial Cyr"/>
        <charset val="204"/>
      </rPr>
      <t>.,i</t>
    </r>
  </si>
  <si>
    <r>
      <t>НП</t>
    </r>
    <r>
      <rPr>
        <b/>
        <vertAlign val="subscript"/>
        <sz val="10"/>
        <rFont val="Arial Cyr"/>
        <charset val="204"/>
      </rPr>
      <t>i,j</t>
    </r>
  </si>
  <si>
    <r>
      <t>РП</t>
    </r>
    <r>
      <rPr>
        <b/>
        <vertAlign val="subscript"/>
        <sz val="10"/>
        <rFont val="Arial Cyr"/>
        <charset val="204"/>
      </rPr>
      <t>i,j</t>
    </r>
  </si>
  <si>
    <r>
      <t>К</t>
    </r>
    <r>
      <rPr>
        <b/>
        <vertAlign val="subscript"/>
        <sz val="10"/>
        <rFont val="Arial Cyr"/>
        <charset val="204"/>
      </rPr>
      <t>пред.отч.,i</t>
    </r>
  </si>
  <si>
    <r>
      <t>К</t>
    </r>
    <r>
      <rPr>
        <b/>
        <vertAlign val="subscript"/>
        <sz val="10"/>
        <rFont val="Arial Cyr"/>
        <charset val="204"/>
      </rPr>
      <t>отч.,i</t>
    </r>
  </si>
  <si>
    <r>
      <t>УП</t>
    </r>
    <r>
      <rPr>
        <b/>
        <sz val="10"/>
        <rFont val="Arial Cyr"/>
        <charset val="204"/>
      </rPr>
      <t xml:space="preserve"> </t>
    </r>
    <r>
      <rPr>
        <b/>
        <vertAlign val="subscript"/>
        <sz val="10"/>
        <rFont val="Arial Cyr"/>
        <charset val="204"/>
      </rPr>
      <t>i,1</t>
    </r>
  </si>
  <si>
    <r>
      <t xml:space="preserve">УП </t>
    </r>
    <r>
      <rPr>
        <b/>
        <vertAlign val="subscript"/>
        <sz val="10"/>
        <rFont val="Arial Cyr"/>
        <charset val="204"/>
      </rPr>
      <t>текi,1</t>
    </r>
  </si>
  <si>
    <r>
      <t>ПП</t>
    </r>
    <r>
      <rPr>
        <b/>
        <vertAlign val="subscript"/>
        <sz val="10"/>
        <rFont val="Arial Cyr"/>
        <charset val="204"/>
      </rPr>
      <t>j</t>
    </r>
  </si>
  <si>
    <r>
      <t>Е</t>
    </r>
    <r>
      <rPr>
        <b/>
        <vertAlign val="subscript"/>
        <sz val="10"/>
        <rFont val="Arial Cyr"/>
        <charset val="204"/>
      </rPr>
      <t>пред.отч.,i</t>
    </r>
  </si>
  <si>
    <r>
      <t>Е</t>
    </r>
    <r>
      <rPr>
        <b/>
        <vertAlign val="subscript"/>
        <sz val="10"/>
        <rFont val="Arial Cyr"/>
        <charset val="204"/>
      </rPr>
      <t>отч.,i</t>
    </r>
  </si>
  <si>
    <r>
      <t>УП</t>
    </r>
    <r>
      <rPr>
        <b/>
        <sz val="10"/>
        <rFont val="Arial Cyr"/>
        <charset val="204"/>
      </rPr>
      <t xml:space="preserve"> </t>
    </r>
    <r>
      <rPr>
        <b/>
        <vertAlign val="subscript"/>
        <sz val="10"/>
        <rFont val="Arial Cyr"/>
        <charset val="204"/>
      </rPr>
      <t>i,2</t>
    </r>
  </si>
  <si>
    <r>
      <t xml:space="preserve">УП </t>
    </r>
    <r>
      <rPr>
        <b/>
        <vertAlign val="subscript"/>
        <sz val="10"/>
        <rFont val="Arial Cyr"/>
        <charset val="204"/>
      </rPr>
      <t>текi,2</t>
    </r>
  </si>
  <si>
    <r>
      <t>УП</t>
    </r>
    <r>
      <rPr>
        <b/>
        <sz val="10"/>
        <rFont val="Arial Cyr"/>
        <charset val="204"/>
      </rPr>
      <t xml:space="preserve"> </t>
    </r>
    <r>
      <rPr>
        <b/>
        <vertAlign val="subscript"/>
        <sz val="10"/>
        <rFont val="Arial Cyr"/>
        <charset val="204"/>
      </rPr>
      <t>i,3</t>
    </r>
  </si>
  <si>
    <r>
      <t xml:space="preserve">УП </t>
    </r>
    <r>
      <rPr>
        <b/>
        <vertAlign val="subscript"/>
        <sz val="10"/>
        <rFont val="Arial Cyr"/>
        <charset val="204"/>
      </rPr>
      <t>текi,3</t>
    </r>
  </si>
  <si>
    <r>
      <t>УП</t>
    </r>
    <r>
      <rPr>
        <b/>
        <sz val="10"/>
        <rFont val="Arial Cyr"/>
        <charset val="204"/>
      </rPr>
      <t xml:space="preserve"> </t>
    </r>
    <r>
      <rPr>
        <b/>
        <vertAlign val="subscript"/>
        <sz val="10"/>
        <rFont val="Arial Cyr"/>
        <charset val="204"/>
      </rPr>
      <t>i,4</t>
    </r>
  </si>
  <si>
    <r>
      <t xml:space="preserve">УП </t>
    </r>
    <r>
      <rPr>
        <b/>
        <vertAlign val="subscript"/>
        <sz val="10"/>
        <rFont val="Arial Cyr"/>
        <charset val="204"/>
      </rPr>
      <t>текi,4</t>
    </r>
  </si>
  <si>
    <r>
      <t xml:space="preserve">УП </t>
    </r>
    <r>
      <rPr>
        <b/>
        <vertAlign val="subscript"/>
        <sz val="10"/>
        <rFont val="Arial Cyr"/>
        <charset val="204"/>
      </rPr>
      <t>i,5</t>
    </r>
  </si>
  <si>
    <r>
      <t xml:space="preserve">УП </t>
    </r>
    <r>
      <rPr>
        <b/>
        <vertAlign val="subscript"/>
        <sz val="10"/>
        <rFont val="Arial Cyr"/>
        <charset val="204"/>
      </rPr>
      <t>текi,5</t>
    </r>
  </si>
  <si>
    <t xml:space="preserve">Бабагайское с.п.  </t>
  </si>
  <si>
    <t>Бажирское с.п.</t>
  </si>
  <si>
    <t>Веренское с.п.</t>
  </si>
  <si>
    <t>Владимирское с.п.</t>
  </si>
  <si>
    <t xml:space="preserve">Заларинское г.п. </t>
  </si>
  <si>
    <t>Моисеевское с.п.</t>
  </si>
  <si>
    <t>Мойганское с.п.</t>
  </si>
  <si>
    <t xml:space="preserve">Новочеремховское с.п. </t>
  </si>
  <si>
    <t xml:space="preserve">Семеновское с.п. </t>
  </si>
  <si>
    <t xml:space="preserve">Троицкое с.п. </t>
  </si>
  <si>
    <t>Тыретьское г.п.</t>
  </si>
  <si>
    <t>Ханжиновское с.п.</t>
  </si>
  <si>
    <t>Холмогойское с.п.</t>
  </si>
  <si>
    <t>Хор-Тагнинское с.п.</t>
  </si>
  <si>
    <t>Черемшанское с.п.</t>
  </si>
  <si>
    <t>* В случае отсутствия возможности расчета показателей среднедушевых налоговых доходов i-го поселения и всех поселений МР значение Нпi/НП принимается = 1.</t>
  </si>
  <si>
    <r>
      <t>Чтобы подобрать сумму по столбцу D</t>
    </r>
    <r>
      <rPr>
        <vertAlign val="subscript"/>
        <sz val="10"/>
        <rFont val="Arial Cyr"/>
        <charset val="204"/>
      </rPr>
      <t>i</t>
    </r>
    <r>
      <rPr>
        <sz val="10"/>
        <rFont val="Arial Cyr"/>
        <charset val="204"/>
      </rPr>
      <t>, необходимо встать в итоговую ячейку. Затем, меню сервис - подбор параматра. В поле "значение:" поставить нужную сумму. В поле "изменяя значение ячейки:" $BC$5</t>
    </r>
  </si>
  <si>
    <r>
      <t>Кi</t>
    </r>
    <r>
      <rPr>
        <vertAlign val="superscript"/>
        <sz val="10"/>
        <rFont val="Arial Cyr"/>
        <charset val="204"/>
      </rPr>
      <t>ОТД  -</t>
    </r>
    <r>
      <rPr>
        <sz val="10"/>
        <rFont val="Arial Cyr"/>
        <charset val="204"/>
      </rPr>
      <t>равен 1,1 для районов Крайнего Севера и праравненым к ним территориям, имеющим выход на ж/д магистраль, 1,6 для районов Крайнего Севера и праравненым к ним территориям, не имеющим выход на ж/д магистраль, 1 - в остальных случаях</t>
    </r>
  </si>
  <si>
    <t>Итого сельское население</t>
  </si>
  <si>
    <t>Численность сельского населения на 1 января 2010 года</t>
  </si>
  <si>
    <r>
      <t>D</t>
    </r>
    <r>
      <rPr>
        <b/>
        <vertAlign val="subscript"/>
        <sz val="10"/>
        <rFont val="Arial Cyr"/>
        <charset val="204"/>
      </rPr>
      <t>i Размер дотации на 2011 год</t>
    </r>
  </si>
  <si>
    <t>Размер дотации на 2010 год</t>
  </si>
  <si>
    <t>Разница</t>
  </si>
  <si>
    <t>Муниципальное образование</t>
  </si>
  <si>
    <t>Тыретское г.п.</t>
  </si>
  <si>
    <t>Нi</t>
  </si>
  <si>
    <t>ИНПi</t>
  </si>
  <si>
    <t>БЭ</t>
  </si>
  <si>
    <t>Сумма</t>
  </si>
  <si>
    <t>БЭ исх i</t>
  </si>
  <si>
    <t xml:space="preserve">ФОТ i (культура) </t>
  </si>
  <si>
    <t>Текущий период на 1 чел. (ТПi)</t>
  </si>
  <si>
    <t>Прошлый период на 1 чел. (ППi)</t>
  </si>
  <si>
    <t>1 кв. 2011</t>
  </si>
  <si>
    <t>1 кв. 2010</t>
  </si>
  <si>
    <t>Текущий период 2011</t>
  </si>
  <si>
    <t>Прошлый период 2010</t>
  </si>
  <si>
    <t>К1 i (культура)</t>
  </si>
  <si>
    <t>К2 i (спорт)</t>
  </si>
  <si>
    <t>Суч i</t>
  </si>
  <si>
    <r>
      <t>Размер МТ за 2010 год (Д</t>
    </r>
    <r>
      <rPr>
        <vertAlign val="subscript"/>
        <sz val="10"/>
        <color theme="1"/>
        <rFont val="Calibri"/>
        <family val="2"/>
        <charset val="204"/>
        <scheme val="minor"/>
      </rPr>
      <t>i</t>
    </r>
    <r>
      <rPr>
        <sz val="10"/>
        <color theme="1"/>
        <rFont val="Calibri"/>
        <family val="2"/>
        <charset val="204"/>
        <scheme val="minor"/>
      </rPr>
      <t>)</t>
    </r>
  </si>
  <si>
    <t>Годовые назначения</t>
  </si>
  <si>
    <r>
      <t>Размер МТ за 1 кв. 2011 года (Д1</t>
    </r>
    <r>
      <rPr>
        <vertAlign val="subscript"/>
        <sz val="10"/>
        <color theme="1"/>
        <rFont val="Calibri"/>
        <family val="2"/>
        <charset val="204"/>
        <scheme val="minor"/>
      </rPr>
      <t>i</t>
    </r>
    <r>
      <rPr>
        <sz val="10"/>
        <color theme="1"/>
        <rFont val="Calibri"/>
        <family val="2"/>
        <charset val="204"/>
        <scheme val="minor"/>
      </rPr>
      <t>)</t>
    </r>
  </si>
  <si>
    <t>Расчет межбюджетных трансфертов для муниципальных образований Заларинского района, осуществляемым эффективное управление за 1 квартал 2011 г.</t>
  </si>
  <si>
    <t>Бабагайское МО</t>
  </si>
  <si>
    <t>Бажирское МО</t>
  </si>
  <si>
    <t>Веренское МО</t>
  </si>
  <si>
    <t>Владимирское МО</t>
  </si>
  <si>
    <t>Заларинское МО</t>
  </si>
  <si>
    <t>Мойганское МО</t>
  </si>
  <si>
    <t xml:space="preserve">Новочеремховское МО </t>
  </si>
  <si>
    <t>Семеновское МО</t>
  </si>
  <si>
    <t>Троицкое МО</t>
  </si>
  <si>
    <t>Тыретское МО</t>
  </si>
  <si>
    <t>Ханжиновское МО</t>
  </si>
  <si>
    <t>Хор-Тагнинское МО</t>
  </si>
  <si>
    <t>Черемшанское МО</t>
  </si>
  <si>
    <t>Численность</t>
  </si>
  <si>
    <t>Весомость коэффициентов</t>
  </si>
  <si>
    <t>МО "Моисеевское с. п."</t>
  </si>
  <si>
    <t>МО "Холмогойское с. п."</t>
  </si>
  <si>
    <t>Коэффициент роста налоговых доходов (ИНПi)</t>
  </si>
  <si>
    <t xml:space="preserve"> Коэффициент наличия полномочий по культуре (К1 i)</t>
  </si>
  <si>
    <t xml:space="preserve">Куч (культура)i </t>
  </si>
  <si>
    <t xml:space="preserve">К3 i </t>
  </si>
  <si>
    <t xml:space="preserve"> Коэф-т участия в спортивных мероприятиях (К2 i)</t>
  </si>
  <si>
    <t xml:space="preserve"> Коэф-т участия в культурно-массовых мероприятиях (К3 i)</t>
  </si>
  <si>
    <t xml:space="preserve"> 9 мес. 2011</t>
  </si>
  <si>
    <t xml:space="preserve"> 9 мес. 2010</t>
  </si>
  <si>
    <t xml:space="preserve">Размер МТ на 1 кв. 2011 года </t>
  </si>
  <si>
    <t>Разница к дотации 11 г.</t>
  </si>
  <si>
    <t>Межбюджетные трансферты, предоставляемые из районного бюджета муниципальным образованиям Заларинского района, осуществляемым эффективное управление бюджетными средствами на 2012 г.</t>
  </si>
  <si>
    <t xml:space="preserve">Размер МТ на  2012 год </t>
  </si>
  <si>
    <t>Приложение №12    к решению районной Думы "О бюджете МО "Заларинский район" на 2012 год" от____2011года</t>
  </si>
</sst>
</file>

<file path=xl/styles.xml><?xml version="1.0" encoding="utf-8"?>
<styleSheet xmlns="http://schemas.openxmlformats.org/spreadsheetml/2006/main">
  <numFmts count="7">
    <numFmt numFmtId="164" formatCode="#,##0_ ;[Red]\-#,##0\ "/>
    <numFmt numFmtId="165" formatCode="#,##0.0_ ;[Red]\-#,##0.0\ "/>
    <numFmt numFmtId="166" formatCode="#,##0.0000_ ;[Red]\-#,##0.0000\ "/>
    <numFmt numFmtId="167" formatCode="0.0"/>
    <numFmt numFmtId="168" formatCode="#,##0.00_ ;[Red]\-#,##0.00\ "/>
    <numFmt numFmtId="169" formatCode="0.00000"/>
    <numFmt numFmtId="170" formatCode="0.000"/>
  </numFmts>
  <fonts count="25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0"/>
      <color indexed="63"/>
      <name val="Arial Cyr"/>
      <charset val="204"/>
    </font>
    <font>
      <sz val="10"/>
      <color indexed="63"/>
      <name val="Arial Cyr"/>
      <charset val="204"/>
    </font>
    <font>
      <sz val="10"/>
      <name val="Arial Cyr"/>
      <charset val="204"/>
    </font>
    <font>
      <b/>
      <vertAlign val="subscript"/>
      <sz val="10"/>
      <name val="Arial Cyr"/>
      <charset val="204"/>
    </font>
    <font>
      <b/>
      <vertAlign val="superscript"/>
      <sz val="10"/>
      <name val="Arial Cyr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b/>
      <vertAlign val="subscript"/>
      <sz val="9"/>
      <name val="Arial Cyr"/>
      <charset val="204"/>
    </font>
    <font>
      <sz val="11"/>
      <name val="Times New Roman"/>
      <family val="1"/>
      <charset val="204"/>
    </font>
    <font>
      <vertAlign val="subscript"/>
      <sz val="10"/>
      <name val="Arial Cyr"/>
      <charset val="204"/>
    </font>
    <font>
      <vertAlign val="superscript"/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bscript"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5">
    <xf numFmtId="0" fontId="0" fillId="0" borderId="0" xfId="0"/>
    <xf numFmtId="0" fontId="1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/>
    </xf>
    <xf numFmtId="0" fontId="1" fillId="2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right" vertical="top"/>
    </xf>
    <xf numFmtId="0" fontId="6" fillId="2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vertical="top" wrapText="1"/>
    </xf>
    <xf numFmtId="0" fontId="1" fillId="3" borderId="18" xfId="0" applyNumberFormat="1" applyFont="1" applyFill="1" applyBorder="1" applyAlignment="1">
      <alignment horizontal="center" vertical="top" wrapText="1"/>
    </xf>
    <xf numFmtId="0" fontId="1" fillId="3" borderId="19" xfId="0" applyNumberFormat="1" applyFont="1" applyFill="1" applyBorder="1" applyAlignment="1">
      <alignment horizontal="center" vertical="top" wrapText="1"/>
    </xf>
    <xf numFmtId="0" fontId="1" fillId="3" borderId="20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6" fillId="0" borderId="32" xfId="0" applyNumberFormat="1" applyFont="1" applyFill="1" applyBorder="1" applyAlignment="1">
      <alignment horizontal="center" vertical="top"/>
    </xf>
    <xf numFmtId="3" fontId="12" fillId="0" borderId="33" xfId="0" applyNumberFormat="1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center" vertical="top"/>
    </xf>
    <xf numFmtId="164" fontId="6" fillId="0" borderId="6" xfId="0" applyNumberFormat="1" applyFont="1" applyFill="1" applyBorder="1" applyAlignment="1">
      <alignment horizontal="center" vertical="top"/>
    </xf>
    <xf numFmtId="164" fontId="6" fillId="3" borderId="2" xfId="0" applyNumberFormat="1" applyFont="1" applyFill="1" applyBorder="1" applyAlignment="1">
      <alignment horizontal="center" vertical="top"/>
    </xf>
    <xf numFmtId="164" fontId="6" fillId="3" borderId="34" xfId="0" applyNumberFormat="1" applyFont="1" applyFill="1" applyBorder="1" applyAlignment="1">
      <alignment horizontal="center" vertical="top"/>
    </xf>
    <xf numFmtId="165" fontId="6" fillId="3" borderId="32" xfId="0" applyNumberFormat="1" applyFont="1" applyFill="1" applyBorder="1" applyAlignment="1">
      <alignment horizontal="right" vertical="top"/>
    </xf>
    <xf numFmtId="164" fontId="6" fillId="0" borderId="35" xfId="0" applyNumberFormat="1" applyFont="1" applyFill="1" applyBorder="1" applyAlignment="1">
      <alignment horizontal="right" vertical="top"/>
    </xf>
    <xf numFmtId="164" fontId="6" fillId="3" borderId="35" xfId="0" applyNumberFormat="1" applyFont="1" applyFill="1" applyBorder="1" applyAlignment="1">
      <alignment horizontal="right" vertical="top"/>
    </xf>
    <xf numFmtId="164" fontId="6" fillId="3" borderId="34" xfId="0" applyNumberFormat="1" applyFont="1" applyFill="1" applyBorder="1" applyAlignment="1">
      <alignment horizontal="right" vertical="top"/>
    </xf>
    <xf numFmtId="164" fontId="6" fillId="3" borderId="36" xfId="0" applyNumberFormat="1" applyFont="1" applyFill="1" applyBorder="1" applyAlignment="1">
      <alignment horizontal="right" vertical="top"/>
    </xf>
    <xf numFmtId="0" fontId="6" fillId="0" borderId="35" xfId="0" applyNumberFormat="1" applyFont="1" applyFill="1" applyBorder="1" applyAlignment="1">
      <alignment horizontal="right" vertical="top"/>
    </xf>
    <xf numFmtId="166" fontId="1" fillId="4" borderId="41" xfId="0" applyNumberFormat="1" applyFont="1" applyFill="1" applyBorder="1" applyAlignment="1">
      <alignment horizontal="right" vertical="top"/>
    </xf>
    <xf numFmtId="166" fontId="6" fillId="3" borderId="34" xfId="0" applyNumberFormat="1" applyFont="1" applyFill="1" applyBorder="1" applyAlignment="1">
      <alignment horizontal="right" vertical="top"/>
    </xf>
    <xf numFmtId="165" fontId="6" fillId="0" borderId="32" xfId="0" applyNumberFormat="1" applyFont="1" applyFill="1" applyBorder="1" applyAlignment="1">
      <alignment horizontal="right" vertical="top"/>
    </xf>
    <xf numFmtId="165" fontId="0" fillId="0" borderId="36" xfId="0" applyNumberFormat="1" applyFill="1" applyBorder="1" applyAlignment="1">
      <alignment horizontal="right" vertical="top"/>
    </xf>
    <xf numFmtId="165" fontId="6" fillId="0" borderId="36" xfId="0" applyNumberFormat="1" applyFont="1" applyFill="1" applyBorder="1" applyAlignment="1">
      <alignment horizontal="right" vertical="top"/>
    </xf>
    <xf numFmtId="165" fontId="6" fillId="3" borderId="42" xfId="0" applyNumberFormat="1" applyFont="1" applyFill="1" applyBorder="1" applyAlignment="1">
      <alignment horizontal="right" vertical="top"/>
    </xf>
    <xf numFmtId="165" fontId="6" fillId="2" borderId="32" xfId="0" applyNumberFormat="1" applyFont="1" applyFill="1" applyBorder="1" applyAlignment="1">
      <alignment horizontal="right" vertical="top"/>
    </xf>
    <xf numFmtId="164" fontId="6" fillId="0" borderId="36" xfId="0" applyNumberFormat="1" applyFont="1" applyFill="1" applyBorder="1" applyAlignment="1">
      <alignment horizontal="right" vertical="top"/>
    </xf>
    <xf numFmtId="165" fontId="0" fillId="0" borderId="32" xfId="0" applyNumberFormat="1" applyFill="1" applyBorder="1" applyAlignment="1">
      <alignment horizontal="right" vertical="top"/>
    </xf>
    <xf numFmtId="165" fontId="6" fillId="0" borderId="33" xfId="0" applyNumberFormat="1" applyFont="1" applyFill="1" applyBorder="1" applyAlignment="1">
      <alignment horizontal="right" vertical="top"/>
    </xf>
    <xf numFmtId="165" fontId="6" fillId="0" borderId="35" xfId="0" applyNumberFormat="1" applyFont="1" applyFill="1" applyBorder="1" applyAlignment="1">
      <alignment horizontal="right" vertical="top"/>
    </xf>
    <xf numFmtId="164" fontId="6" fillId="3" borderId="43" xfId="0" applyNumberFormat="1" applyFont="1" applyFill="1" applyBorder="1" applyAlignment="1">
      <alignment horizontal="right" vertical="top"/>
    </xf>
    <xf numFmtId="164" fontId="6" fillId="2" borderId="32" xfId="0" applyNumberFormat="1" applyFont="1" applyFill="1" applyBorder="1" applyAlignment="1">
      <alignment horizontal="right" vertical="top"/>
    </xf>
    <xf numFmtId="164" fontId="6" fillId="2" borderId="35" xfId="0" applyNumberFormat="1" applyFont="1" applyFill="1" applyBorder="1" applyAlignment="1">
      <alignment horizontal="right" vertical="top"/>
    </xf>
    <xf numFmtId="164" fontId="6" fillId="3" borderId="37" xfId="0" applyNumberFormat="1" applyFont="1" applyFill="1" applyBorder="1" applyAlignment="1">
      <alignment vertical="top"/>
    </xf>
    <xf numFmtId="165" fontId="6" fillId="0" borderId="32" xfId="0" applyNumberFormat="1" applyFont="1" applyFill="1" applyBorder="1" applyAlignment="1">
      <alignment vertical="top"/>
    </xf>
    <xf numFmtId="165" fontId="6" fillId="0" borderId="35" xfId="0" applyNumberFormat="1" applyFont="1" applyFill="1" applyBorder="1" applyAlignment="1">
      <alignment vertical="top"/>
    </xf>
    <xf numFmtId="165" fontId="6" fillId="3" borderId="43" xfId="0" applyNumberFormat="1" applyFont="1" applyFill="1" applyBorder="1" applyAlignment="1">
      <alignment horizontal="right" vertical="top"/>
    </xf>
    <xf numFmtId="164" fontId="6" fillId="0" borderId="32" xfId="0" applyNumberFormat="1" applyFont="1" applyFill="1" applyBorder="1" applyAlignment="1">
      <alignment horizontal="right" vertical="top"/>
    </xf>
    <xf numFmtId="164" fontId="6" fillId="3" borderId="43" xfId="0" applyNumberFormat="1" applyFont="1" applyFill="1" applyBorder="1" applyAlignment="1">
      <alignment vertical="top"/>
    </xf>
    <xf numFmtId="164" fontId="6" fillId="3" borderId="41" xfId="0" applyNumberFormat="1" applyFont="1" applyFill="1" applyBorder="1" applyAlignment="1">
      <alignment vertical="top"/>
    </xf>
    <xf numFmtId="164" fontId="6" fillId="0" borderId="32" xfId="0" applyNumberFormat="1" applyFont="1" applyFill="1" applyBorder="1" applyAlignment="1">
      <alignment vertical="top"/>
    </xf>
    <xf numFmtId="164" fontId="6" fillId="3" borderId="40" xfId="0" applyNumberFormat="1" applyFont="1" applyFill="1" applyBorder="1" applyAlignment="1">
      <alignment horizontal="right" vertical="top"/>
    </xf>
    <xf numFmtId="164" fontId="6" fillId="3" borderId="41" xfId="0" applyNumberFormat="1" applyFont="1" applyFill="1" applyBorder="1" applyAlignment="1">
      <alignment horizontal="right" vertical="top"/>
    </xf>
    <xf numFmtId="166" fontId="1" fillId="4" borderId="34" xfId="0" applyNumberFormat="1" applyFont="1" applyFill="1" applyBorder="1" applyAlignment="1">
      <alignment horizontal="right" vertical="top"/>
    </xf>
    <xf numFmtId="0" fontId="0" fillId="0" borderId="44" xfId="0" applyBorder="1" applyAlignment="1">
      <alignment horizontal="center" vertical="top"/>
    </xf>
    <xf numFmtId="0" fontId="6" fillId="0" borderId="45" xfId="0" applyNumberFormat="1" applyFont="1" applyFill="1" applyBorder="1" applyAlignment="1">
      <alignment horizontal="center" vertical="top"/>
    </xf>
    <xf numFmtId="164" fontId="6" fillId="0" borderId="46" xfId="0" applyNumberFormat="1" applyFont="1" applyFill="1" applyBorder="1" applyAlignment="1">
      <alignment horizontal="center" vertical="top"/>
    </xf>
    <xf numFmtId="164" fontId="6" fillId="3" borderId="33" xfId="0" applyNumberFormat="1" applyFont="1" applyFill="1" applyBorder="1" applyAlignment="1">
      <alignment horizontal="center" vertical="top"/>
    </xf>
    <xf numFmtId="164" fontId="6" fillId="0" borderId="33" xfId="0" applyNumberFormat="1" applyFont="1" applyFill="1" applyBorder="1" applyAlignment="1">
      <alignment horizontal="right" vertical="top"/>
    </xf>
    <xf numFmtId="164" fontId="6" fillId="3" borderId="33" xfId="0" applyNumberFormat="1" applyFont="1" applyFill="1" applyBorder="1" applyAlignment="1">
      <alignment horizontal="right" vertical="top"/>
    </xf>
    <xf numFmtId="0" fontId="6" fillId="0" borderId="33" xfId="0" applyNumberFormat="1" applyFont="1" applyFill="1" applyBorder="1" applyAlignment="1">
      <alignment horizontal="right" vertical="top"/>
    </xf>
    <xf numFmtId="164" fontId="6" fillId="0" borderId="47" xfId="0" applyNumberFormat="1" applyFont="1" applyFill="1" applyBorder="1" applyAlignment="1">
      <alignment horizontal="right" vertical="top"/>
    </xf>
    <xf numFmtId="165" fontId="6" fillId="0" borderId="45" xfId="0" applyNumberFormat="1" applyFont="1" applyFill="1" applyBorder="1" applyAlignment="1">
      <alignment horizontal="right" vertical="top"/>
    </xf>
    <xf numFmtId="164" fontId="6" fillId="2" borderId="45" xfId="0" applyNumberFormat="1" applyFont="1" applyFill="1" applyBorder="1" applyAlignment="1">
      <alignment horizontal="right" vertical="top"/>
    </xf>
    <xf numFmtId="164" fontId="6" fillId="2" borderId="33" xfId="0" applyNumberFormat="1" applyFont="1" applyFill="1" applyBorder="1" applyAlignment="1">
      <alignment horizontal="right" vertical="top"/>
    </xf>
    <xf numFmtId="164" fontId="6" fillId="3" borderId="33" xfId="0" applyNumberFormat="1" applyFont="1" applyFill="1" applyBorder="1" applyAlignment="1">
      <alignment vertical="top"/>
    </xf>
    <xf numFmtId="165" fontId="6" fillId="3" borderId="48" xfId="0" applyNumberFormat="1" applyFont="1" applyFill="1" applyBorder="1" applyAlignment="1">
      <alignment horizontal="right" vertical="top"/>
    </xf>
    <xf numFmtId="164" fontId="6" fillId="0" borderId="45" xfId="0" applyNumberFormat="1" applyFont="1" applyFill="1" applyBorder="1" applyAlignment="1">
      <alignment horizontal="right" vertical="top"/>
    </xf>
    <xf numFmtId="164" fontId="6" fillId="0" borderId="45" xfId="0" applyNumberFormat="1" applyFont="1" applyFill="1" applyBorder="1" applyAlignment="1">
      <alignment vertical="top"/>
    </xf>
    <xf numFmtId="164" fontId="6" fillId="3" borderId="44" xfId="0" applyNumberFormat="1" applyFont="1" applyFill="1" applyBorder="1" applyAlignment="1">
      <alignment horizontal="right" vertical="top"/>
    </xf>
    <xf numFmtId="164" fontId="6" fillId="0" borderId="49" xfId="0" applyNumberFormat="1" applyFont="1" applyFill="1" applyBorder="1" applyAlignment="1">
      <alignment horizontal="center" vertical="top"/>
    </xf>
    <xf numFmtId="164" fontId="6" fillId="0" borderId="19" xfId="0" applyNumberFormat="1" applyFont="1" applyFill="1" applyBorder="1" applyAlignment="1">
      <alignment horizontal="center" vertical="top"/>
    </xf>
    <xf numFmtId="164" fontId="6" fillId="3" borderId="38" xfId="0" applyNumberFormat="1" applyFont="1" applyFill="1" applyBorder="1" applyAlignment="1">
      <alignment horizontal="right" vertical="top"/>
    </xf>
    <xf numFmtId="164" fontId="6" fillId="2" borderId="18" xfId="0" applyNumberFormat="1" applyFont="1" applyFill="1" applyBorder="1" applyAlignment="1">
      <alignment horizontal="right" vertical="top"/>
    </xf>
    <xf numFmtId="164" fontId="6" fillId="2" borderId="19" xfId="0" applyNumberFormat="1" applyFont="1" applyFill="1" applyBorder="1" applyAlignment="1">
      <alignment horizontal="right" vertical="top"/>
    </xf>
    <xf numFmtId="164" fontId="6" fillId="3" borderId="24" xfId="0" applyNumberFormat="1" applyFont="1" applyFill="1" applyBorder="1" applyAlignment="1">
      <alignment horizontal="right" vertical="top"/>
    </xf>
    <xf numFmtId="164" fontId="6" fillId="3" borderId="19" xfId="0" applyNumberFormat="1" applyFont="1" applyFill="1" applyBorder="1" applyAlignment="1">
      <alignment vertical="top"/>
    </xf>
    <xf numFmtId="164" fontId="6" fillId="3" borderId="51" xfId="0" applyNumberFormat="1" applyFont="1" applyFill="1" applyBorder="1" applyAlignment="1">
      <alignment vertical="top"/>
    </xf>
    <xf numFmtId="164" fontId="6" fillId="0" borderId="18" xfId="0" applyNumberFormat="1" applyFont="1" applyFill="1" applyBorder="1" applyAlignment="1">
      <alignment vertical="top"/>
    </xf>
    <xf numFmtId="166" fontId="1" fillId="4" borderId="0" xfId="0" applyNumberFormat="1" applyFont="1" applyFill="1" applyBorder="1" applyAlignment="1">
      <alignment horizontal="right" vertical="top"/>
    </xf>
    <xf numFmtId="164" fontId="1" fillId="4" borderId="52" xfId="0" applyNumberFormat="1" applyFont="1" applyFill="1" applyBorder="1" applyAlignment="1">
      <alignment horizontal="right" vertical="top"/>
    </xf>
    <xf numFmtId="164" fontId="1" fillId="4" borderId="53" xfId="0" applyNumberFormat="1" applyFont="1" applyFill="1" applyBorder="1" applyAlignment="1">
      <alignment horizontal="right" vertical="top"/>
    </xf>
    <xf numFmtId="164" fontId="1" fillId="4" borderId="54" xfId="0" applyNumberFormat="1" applyFont="1" applyFill="1" applyBorder="1" applyAlignment="1">
      <alignment horizontal="center" vertical="top"/>
    </xf>
    <xf numFmtId="164" fontId="6" fillId="0" borderId="55" xfId="0" applyNumberFormat="1" applyFont="1" applyFill="1" applyBorder="1" applyAlignment="1">
      <alignment horizontal="center" vertical="top"/>
    </xf>
    <xf numFmtId="164" fontId="6" fillId="3" borderId="55" xfId="0" applyNumberFormat="1" applyFont="1" applyFill="1" applyBorder="1" applyAlignment="1">
      <alignment horizontal="center" vertical="top"/>
    </xf>
    <xf numFmtId="164" fontId="1" fillId="4" borderId="55" xfId="0" applyNumberFormat="1" applyFont="1" applyFill="1" applyBorder="1" applyAlignment="1">
      <alignment horizontal="center" vertical="top"/>
    </xf>
    <xf numFmtId="164" fontId="1" fillId="4" borderId="57" xfId="0" applyNumberFormat="1" applyFont="1" applyFill="1" applyBorder="1" applyAlignment="1">
      <alignment horizontal="center" vertical="top"/>
    </xf>
    <xf numFmtId="165" fontId="6" fillId="3" borderId="52" xfId="0" applyNumberFormat="1" applyFont="1" applyFill="1" applyBorder="1" applyAlignment="1">
      <alignment horizontal="center" vertical="top"/>
    </xf>
    <xf numFmtId="164" fontId="1" fillId="4" borderId="55" xfId="0" applyNumberFormat="1" applyFont="1" applyFill="1" applyBorder="1" applyAlignment="1">
      <alignment horizontal="right" vertical="top"/>
    </xf>
    <xf numFmtId="164" fontId="1" fillId="4" borderId="57" xfId="0" applyNumberFormat="1" applyFont="1" applyFill="1" applyBorder="1" applyAlignment="1">
      <alignment horizontal="right" vertical="top"/>
    </xf>
    <xf numFmtId="164" fontId="1" fillId="4" borderId="58" xfId="0" applyNumberFormat="1" applyFont="1" applyFill="1" applyBorder="1" applyAlignment="1">
      <alignment horizontal="right" vertical="top"/>
    </xf>
    <xf numFmtId="164" fontId="1" fillId="4" borderId="60" xfId="0" applyNumberFormat="1" applyFont="1" applyFill="1" applyBorder="1" applyAlignment="1">
      <alignment horizontal="right" vertical="top"/>
    </xf>
    <xf numFmtId="0" fontId="1" fillId="4" borderId="53" xfId="0" applyNumberFormat="1" applyFont="1" applyFill="1" applyBorder="1" applyAlignment="1">
      <alignment horizontal="right" vertical="top"/>
    </xf>
    <xf numFmtId="164" fontId="6" fillId="4" borderId="59" xfId="0" applyNumberFormat="1" applyFont="1" applyFill="1" applyBorder="1" applyAlignment="1">
      <alignment horizontal="right" vertical="top"/>
    </xf>
    <xf numFmtId="164" fontId="6" fillId="4" borderId="56" xfId="0" applyNumberFormat="1" applyFont="1" applyFill="1" applyBorder="1" applyAlignment="1">
      <alignment horizontal="right" vertical="top"/>
    </xf>
    <xf numFmtId="164" fontId="6" fillId="4" borderId="55" xfId="0" applyNumberFormat="1" applyFont="1" applyFill="1" applyBorder="1" applyAlignment="1">
      <alignment horizontal="right" vertical="top"/>
    </xf>
    <xf numFmtId="164" fontId="6" fillId="3" borderId="55" xfId="0" applyNumberFormat="1" applyFont="1" applyFill="1" applyBorder="1" applyAlignment="1">
      <alignment horizontal="right" vertical="top"/>
    </xf>
    <xf numFmtId="164" fontId="6" fillId="3" borderId="55" xfId="0" applyNumberFormat="1" applyFont="1" applyFill="1" applyBorder="1" applyAlignment="1">
      <alignment vertical="top"/>
    </xf>
    <xf numFmtId="165" fontId="6" fillId="3" borderId="58" xfId="0" applyNumberFormat="1" applyFont="1" applyFill="1" applyBorder="1" applyAlignment="1">
      <alignment horizontal="right" vertical="top"/>
    </xf>
    <xf numFmtId="164" fontId="6" fillId="0" borderId="53" xfId="0" applyNumberFormat="1" applyFont="1" applyFill="1" applyBorder="1" applyAlignment="1">
      <alignment vertical="top"/>
    </xf>
    <xf numFmtId="164" fontId="6" fillId="3" borderId="59" xfId="0" applyNumberFormat="1" applyFont="1" applyFill="1" applyBorder="1" applyAlignment="1">
      <alignment vertical="top"/>
    </xf>
    <xf numFmtId="164" fontId="6" fillId="0" borderId="59" xfId="0" applyNumberFormat="1" applyFont="1" applyFill="1" applyBorder="1" applyAlignment="1">
      <alignment vertical="top"/>
    </xf>
    <xf numFmtId="164" fontId="6" fillId="3" borderId="58" xfId="0" applyNumberFormat="1" applyFont="1" applyFill="1" applyBorder="1" applyAlignment="1">
      <alignment horizontal="right" vertical="top"/>
    </xf>
    <xf numFmtId="164" fontId="6" fillId="3" borderId="59" xfId="0" applyNumberFormat="1" applyFont="1" applyFill="1" applyBorder="1" applyAlignment="1">
      <alignment horizontal="right" vertical="top"/>
    </xf>
    <xf numFmtId="0" fontId="1" fillId="0" borderId="0" xfId="0" applyNumberFormat="1" applyFont="1" applyFill="1" applyBorder="1" applyAlignment="1">
      <alignment horizontal="right" vertical="top"/>
    </xf>
    <xf numFmtId="0" fontId="1" fillId="4" borderId="0" xfId="0" applyNumberFormat="1" applyFont="1" applyFill="1" applyBorder="1" applyAlignment="1">
      <alignment horizontal="right" vertical="top"/>
    </xf>
    <xf numFmtId="164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165" fontId="6" fillId="0" borderId="0" xfId="0" applyNumberFormat="1" applyFont="1" applyFill="1" applyBorder="1" applyAlignment="1">
      <alignment vertical="top"/>
    </xf>
    <xf numFmtId="0" fontId="1" fillId="4" borderId="0" xfId="0" applyNumberFormat="1" applyFont="1" applyFill="1" applyBorder="1" applyAlignment="1">
      <alignment vertical="top"/>
    </xf>
    <xf numFmtId="167" fontId="6" fillId="0" borderId="40" xfId="0" applyNumberFormat="1" applyFont="1" applyFill="1" applyBorder="1" applyAlignment="1">
      <alignment horizontal="right" vertical="top"/>
    </xf>
    <xf numFmtId="164" fontId="6" fillId="3" borderId="42" xfId="0" applyNumberFormat="1" applyFont="1" applyFill="1" applyBorder="1" applyAlignment="1">
      <alignment horizontal="right" vertical="top"/>
    </xf>
    <xf numFmtId="0" fontId="1" fillId="3" borderId="14" xfId="0" applyNumberFormat="1" applyFont="1" applyFill="1" applyBorder="1" applyAlignment="1">
      <alignment horizontal="center" vertical="top" wrapText="1"/>
    </xf>
    <xf numFmtId="0" fontId="1" fillId="0" borderId="9" xfId="0" applyNumberFormat="1" applyFont="1" applyFill="1" applyBorder="1" applyAlignment="1">
      <alignment horizontal="center" vertical="top" wrapText="1"/>
    </xf>
    <xf numFmtId="0" fontId="1" fillId="3" borderId="9" xfId="0" applyNumberFormat="1" applyFont="1" applyFill="1" applyBorder="1" applyAlignment="1">
      <alignment horizontal="center" vertical="top" wrapText="1"/>
    </xf>
    <xf numFmtId="0" fontId="1" fillId="3" borderId="10" xfId="0" applyNumberFormat="1" applyFont="1" applyFill="1" applyBorder="1" applyAlignment="1">
      <alignment horizontal="center" vertical="top" wrapText="1"/>
    </xf>
    <xf numFmtId="164" fontId="6" fillId="0" borderId="33" xfId="0" applyNumberFormat="1" applyFont="1" applyFill="1" applyBorder="1" applyAlignment="1">
      <alignment horizontal="center" vertical="top"/>
    </xf>
    <xf numFmtId="0" fontId="1" fillId="3" borderId="8" xfId="0" applyNumberFormat="1" applyFont="1" applyFill="1" applyBorder="1" applyAlignment="1">
      <alignment horizontal="center" vertical="top" wrapText="1"/>
    </xf>
    <xf numFmtId="1" fontId="6" fillId="0" borderId="0" xfId="0" applyNumberFormat="1" applyFont="1" applyFill="1" applyBorder="1" applyAlignment="1">
      <alignment vertical="top"/>
    </xf>
    <xf numFmtId="169" fontId="6" fillId="0" borderId="0" xfId="0" applyNumberFormat="1" applyFont="1" applyFill="1" applyBorder="1" applyAlignment="1">
      <alignment vertical="top"/>
    </xf>
    <xf numFmtId="3" fontId="16" fillId="0" borderId="1" xfId="0" applyNumberFormat="1" applyFont="1" applyFill="1" applyBorder="1" applyAlignment="1">
      <alignment horizontal="left" vertical="center" wrapText="1"/>
    </xf>
    <xf numFmtId="1" fontId="17" fillId="0" borderId="2" xfId="0" applyNumberFormat="1" applyFont="1" applyFill="1" applyBorder="1" applyAlignment="1">
      <alignment horizontal="center" vertical="top"/>
    </xf>
    <xf numFmtId="3" fontId="16" fillId="0" borderId="45" xfId="0" applyNumberFormat="1" applyFont="1" applyFill="1" applyBorder="1" applyAlignment="1">
      <alignment horizontal="left" vertical="center" wrapText="1"/>
    </xf>
    <xf numFmtId="1" fontId="17" fillId="0" borderId="48" xfId="0" applyNumberFormat="1" applyFont="1" applyFill="1" applyBorder="1" applyAlignment="1">
      <alignment horizontal="center" vertical="top"/>
    </xf>
    <xf numFmtId="3" fontId="16" fillId="0" borderId="18" xfId="0" applyNumberFormat="1" applyFont="1" applyFill="1" applyBorder="1" applyAlignment="1">
      <alignment horizontal="left" vertical="center" wrapText="1"/>
    </xf>
    <xf numFmtId="1" fontId="17" fillId="0" borderId="20" xfId="0" applyNumberFormat="1" applyFont="1" applyFill="1" applyBorder="1" applyAlignment="1">
      <alignment horizontal="center" vertical="top"/>
    </xf>
    <xf numFmtId="0" fontId="17" fillId="0" borderId="52" xfId="0" applyNumberFormat="1" applyFont="1" applyFill="1" applyBorder="1" applyAlignment="1">
      <alignment vertical="top"/>
    </xf>
    <xf numFmtId="0" fontId="17" fillId="0" borderId="57" xfId="0" applyNumberFormat="1" applyFont="1" applyFill="1" applyBorder="1" applyAlignment="1">
      <alignment horizontal="center" vertical="top"/>
    </xf>
    <xf numFmtId="168" fontId="6" fillId="3" borderId="55" xfId="0" applyNumberFormat="1" applyFont="1" applyFill="1" applyBorder="1" applyAlignment="1">
      <alignment horizontal="center" vertical="top"/>
    </xf>
    <xf numFmtId="168" fontId="6" fillId="0" borderId="33" xfId="0" applyNumberFormat="1" applyFont="1" applyFill="1" applyBorder="1" applyAlignment="1">
      <alignment horizontal="center" vertical="top"/>
    </xf>
    <xf numFmtId="165" fontId="6" fillId="3" borderId="35" xfId="0" applyNumberFormat="1" applyFont="1" applyFill="1" applyBorder="1" applyAlignment="1">
      <alignment horizontal="right" vertical="top"/>
    </xf>
    <xf numFmtId="165" fontId="6" fillId="3" borderId="33" xfId="0" applyNumberFormat="1" applyFont="1" applyFill="1" applyBorder="1" applyAlignment="1">
      <alignment horizontal="right" vertical="top"/>
    </xf>
    <xf numFmtId="168" fontId="6" fillId="3" borderId="35" xfId="0" applyNumberFormat="1" applyFont="1" applyFill="1" applyBorder="1" applyAlignment="1">
      <alignment horizontal="right" vertical="top"/>
    </xf>
    <xf numFmtId="168" fontId="6" fillId="3" borderId="33" xfId="0" applyNumberFormat="1" applyFont="1" applyFill="1" applyBorder="1" applyAlignment="1">
      <alignment horizontal="right" vertical="top"/>
    </xf>
    <xf numFmtId="1" fontId="6" fillId="0" borderId="39" xfId="0" applyNumberFormat="1" applyFont="1" applyFill="1" applyBorder="1" applyAlignment="1">
      <alignment horizontal="right" vertical="top"/>
    </xf>
    <xf numFmtId="1" fontId="6" fillId="0" borderId="33" xfId="0" applyNumberFormat="1" applyFont="1" applyFill="1" applyBorder="1" applyAlignment="1">
      <alignment horizontal="right" vertical="top"/>
    </xf>
    <xf numFmtId="164" fontId="1" fillId="4" borderId="34" xfId="0" applyNumberFormat="1" applyFont="1" applyFill="1" applyBorder="1" applyAlignment="1">
      <alignment horizontal="right" vertical="top"/>
    </xf>
    <xf numFmtId="0" fontId="0" fillId="0" borderId="62" xfId="0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right" vertical="top"/>
    </xf>
    <xf numFmtId="2" fontId="6" fillId="0" borderId="3" xfId="0" applyNumberFormat="1" applyFont="1" applyFill="1" applyBorder="1" applyAlignment="1">
      <alignment vertical="top"/>
    </xf>
    <xf numFmtId="2" fontId="6" fillId="0" borderId="46" xfId="0" applyNumberFormat="1" applyFont="1" applyFill="1" applyBorder="1" applyAlignment="1">
      <alignment vertical="top"/>
    </xf>
    <xf numFmtId="2" fontId="6" fillId="0" borderId="49" xfId="0" applyNumberFormat="1" applyFont="1" applyFill="1" applyBorder="1" applyAlignment="1">
      <alignment vertical="top"/>
    </xf>
    <xf numFmtId="2" fontId="6" fillId="0" borderId="54" xfId="0" applyNumberFormat="1" applyFont="1" applyFill="1" applyBorder="1" applyAlignment="1">
      <alignment vertical="top"/>
    </xf>
    <xf numFmtId="3" fontId="12" fillId="0" borderId="5" xfId="0" applyNumberFormat="1" applyFont="1" applyFill="1" applyBorder="1" applyAlignment="1">
      <alignment horizontal="left" vertical="center" wrapText="1"/>
    </xf>
    <xf numFmtId="3" fontId="12" fillId="0" borderId="63" xfId="0" applyNumberFormat="1" applyFont="1" applyFill="1" applyBorder="1" applyAlignment="1">
      <alignment horizontal="left" vertical="center" wrapText="1"/>
    </xf>
    <xf numFmtId="3" fontId="12" fillId="0" borderId="64" xfId="0" applyNumberFormat="1" applyFont="1" applyFill="1" applyBorder="1" applyAlignment="1">
      <alignment horizontal="left" vertical="center" wrapText="1"/>
    </xf>
    <xf numFmtId="0" fontId="1" fillId="0" borderId="58" xfId="0" applyNumberFormat="1" applyFont="1" applyFill="1" applyBorder="1" applyAlignment="1">
      <alignment horizontal="right" vertical="top"/>
    </xf>
    <xf numFmtId="2" fontId="6" fillId="0" borderId="15" xfId="0" applyNumberFormat="1" applyFont="1" applyFill="1" applyBorder="1" applyAlignment="1">
      <alignment vertical="top"/>
    </xf>
    <xf numFmtId="2" fontId="6" fillId="0" borderId="44" xfId="0" applyNumberFormat="1" applyFont="1" applyFill="1" applyBorder="1" applyAlignment="1">
      <alignment vertical="top"/>
    </xf>
    <xf numFmtId="2" fontId="6" fillId="0" borderId="62" xfId="0" applyNumberFormat="1" applyFont="1" applyFill="1" applyBorder="1" applyAlignment="1">
      <alignment vertical="top"/>
    </xf>
    <xf numFmtId="0" fontId="1" fillId="0" borderId="59" xfId="0" applyNumberFormat="1" applyFont="1" applyFill="1" applyBorder="1" applyAlignment="1">
      <alignment horizontal="right" vertical="top"/>
    </xf>
    <xf numFmtId="0" fontId="6" fillId="0" borderId="18" xfId="0" applyNumberFormat="1" applyFont="1" applyFill="1" applyBorder="1" applyAlignment="1">
      <alignment horizontal="center" vertical="top"/>
    </xf>
    <xf numFmtId="164" fontId="6" fillId="3" borderId="0" xfId="0" applyNumberFormat="1" applyFont="1" applyFill="1" applyBorder="1" applyAlignment="1">
      <alignment horizontal="center" vertical="top"/>
    </xf>
    <xf numFmtId="168" fontId="6" fillId="0" borderId="19" xfId="0" applyNumberFormat="1" applyFont="1" applyFill="1" applyBorder="1" applyAlignment="1">
      <alignment horizontal="center" vertical="top"/>
    </xf>
    <xf numFmtId="168" fontId="1" fillId="4" borderId="57" xfId="0" applyNumberFormat="1" applyFont="1" applyFill="1" applyBorder="1" applyAlignment="1">
      <alignment horizontal="center" vertical="top"/>
    </xf>
    <xf numFmtId="165" fontId="6" fillId="3" borderId="1" xfId="0" applyNumberFormat="1" applyFont="1" applyFill="1" applyBorder="1" applyAlignment="1">
      <alignment horizontal="right" vertical="top"/>
    </xf>
    <xf numFmtId="164" fontId="6" fillId="0" borderId="6" xfId="0" applyNumberFormat="1" applyFont="1" applyFill="1" applyBorder="1" applyAlignment="1">
      <alignment horizontal="right" vertical="top"/>
    </xf>
    <xf numFmtId="165" fontId="6" fillId="3" borderId="6" xfId="0" applyNumberFormat="1" applyFont="1" applyFill="1" applyBorder="1" applyAlignment="1">
      <alignment horizontal="right" vertical="top"/>
    </xf>
    <xf numFmtId="164" fontId="6" fillId="3" borderId="6" xfId="0" applyNumberFormat="1" applyFont="1" applyFill="1" applyBorder="1" applyAlignment="1">
      <alignment horizontal="right" vertical="top"/>
    </xf>
    <xf numFmtId="164" fontId="6" fillId="0" borderId="19" xfId="0" applyNumberFormat="1" applyFont="1" applyFill="1" applyBorder="1" applyAlignment="1">
      <alignment horizontal="right" vertical="top"/>
    </xf>
    <xf numFmtId="168" fontId="6" fillId="3" borderId="19" xfId="0" applyNumberFormat="1" applyFont="1" applyFill="1" applyBorder="1" applyAlignment="1">
      <alignment horizontal="right" vertical="top"/>
    </xf>
    <xf numFmtId="165" fontId="6" fillId="3" borderId="52" xfId="0" applyNumberFormat="1" applyFont="1" applyFill="1" applyBorder="1" applyAlignment="1">
      <alignment horizontal="right" vertical="top"/>
    </xf>
    <xf numFmtId="165" fontId="6" fillId="3" borderId="19" xfId="0" applyNumberFormat="1" applyFont="1" applyFill="1" applyBorder="1" applyAlignment="1">
      <alignment horizontal="right" vertical="top"/>
    </xf>
    <xf numFmtId="164" fontId="6" fillId="3" borderId="19" xfId="0" applyNumberFormat="1" applyFont="1" applyFill="1" applyBorder="1" applyAlignment="1">
      <alignment horizontal="right" vertical="top"/>
    </xf>
    <xf numFmtId="164" fontId="6" fillId="3" borderId="52" xfId="0" applyNumberFormat="1" applyFont="1" applyFill="1" applyBorder="1" applyAlignment="1">
      <alignment horizontal="right" vertical="top"/>
    </xf>
    <xf numFmtId="164" fontId="1" fillId="4" borderId="59" xfId="0" applyNumberFormat="1" applyFont="1" applyFill="1" applyBorder="1" applyAlignment="1">
      <alignment horizontal="right" vertical="top"/>
    </xf>
    <xf numFmtId="164" fontId="6" fillId="3" borderId="65" xfId="0" applyNumberFormat="1" applyFont="1" applyFill="1" applyBorder="1" applyAlignment="1">
      <alignment horizontal="right" vertical="top"/>
    </xf>
    <xf numFmtId="0" fontId="6" fillId="0" borderId="19" xfId="0" applyNumberFormat="1" applyFont="1" applyFill="1" applyBorder="1" applyAlignment="1">
      <alignment horizontal="right" vertical="top"/>
    </xf>
    <xf numFmtId="1" fontId="6" fillId="0" borderId="19" xfId="0" applyNumberFormat="1" applyFont="1" applyFill="1" applyBorder="1" applyAlignment="1">
      <alignment horizontal="right" vertical="top"/>
    </xf>
    <xf numFmtId="167" fontId="6" fillId="0" borderId="37" xfId="0" applyNumberFormat="1" applyFont="1" applyFill="1" applyBorder="1" applyAlignment="1">
      <alignment horizontal="right" vertical="top"/>
    </xf>
    <xf numFmtId="166" fontId="1" fillId="4" borderId="51" xfId="0" applyNumberFormat="1" applyFont="1" applyFill="1" applyBorder="1" applyAlignment="1">
      <alignment horizontal="right" vertical="top"/>
    </xf>
    <xf numFmtId="166" fontId="6" fillId="3" borderId="0" xfId="0" applyNumberFormat="1" applyFont="1" applyFill="1" applyBorder="1" applyAlignment="1">
      <alignment horizontal="right" vertical="top"/>
    </xf>
    <xf numFmtId="165" fontId="6" fillId="0" borderId="50" xfId="0" applyNumberFormat="1" applyFont="1" applyFill="1" applyBorder="1" applyAlignment="1">
      <alignment horizontal="right" vertical="top"/>
    </xf>
    <xf numFmtId="165" fontId="0" fillId="0" borderId="65" xfId="0" applyNumberFormat="1" applyFill="1" applyBorder="1" applyAlignment="1">
      <alignment horizontal="right" vertical="top"/>
    </xf>
    <xf numFmtId="165" fontId="6" fillId="0" borderId="65" xfId="0" applyNumberFormat="1" applyFont="1" applyFill="1" applyBorder="1" applyAlignment="1">
      <alignment horizontal="right" vertical="top"/>
    </xf>
    <xf numFmtId="164" fontId="6" fillId="3" borderId="61" xfId="0" applyNumberFormat="1" applyFont="1" applyFill="1" applyBorder="1" applyAlignment="1">
      <alignment horizontal="right" vertical="top"/>
    </xf>
    <xf numFmtId="165" fontId="6" fillId="2" borderId="50" xfId="0" applyNumberFormat="1" applyFont="1" applyFill="1" applyBorder="1" applyAlignment="1">
      <alignment horizontal="right" vertical="top"/>
    </xf>
    <xf numFmtId="166" fontId="1" fillId="4" borderId="59" xfId="0" applyNumberFormat="1" applyFont="1" applyFill="1" applyBorder="1" applyAlignment="1">
      <alignment horizontal="right" vertical="top"/>
    </xf>
    <xf numFmtId="166" fontId="6" fillId="3" borderId="60" xfId="0" applyNumberFormat="1" applyFont="1" applyFill="1" applyBorder="1" applyAlignment="1">
      <alignment horizontal="right" vertical="top"/>
    </xf>
    <xf numFmtId="165" fontId="6" fillId="0" borderId="52" xfId="0" applyNumberFormat="1" applyFont="1" applyFill="1" applyBorder="1" applyAlignment="1">
      <alignment horizontal="right" vertical="top"/>
    </xf>
    <xf numFmtId="165" fontId="0" fillId="0" borderId="56" xfId="0" applyNumberFormat="1" applyFill="1" applyBorder="1" applyAlignment="1">
      <alignment horizontal="right" vertical="top"/>
    </xf>
    <xf numFmtId="165" fontId="6" fillId="0" borderId="56" xfId="0" applyNumberFormat="1" applyFont="1" applyFill="1" applyBorder="1" applyAlignment="1">
      <alignment horizontal="right" vertical="top"/>
    </xf>
    <xf numFmtId="165" fontId="1" fillId="4" borderId="59" xfId="0" applyNumberFormat="1" applyFont="1" applyFill="1" applyBorder="1" applyAlignment="1">
      <alignment horizontal="right" vertical="top"/>
    </xf>
    <xf numFmtId="165" fontId="6" fillId="3" borderId="61" xfId="0" applyNumberFormat="1" applyFont="1" applyFill="1" applyBorder="1" applyAlignment="1">
      <alignment horizontal="right" vertical="top"/>
    </xf>
    <xf numFmtId="165" fontId="6" fillId="0" borderId="18" xfId="0" applyNumberFormat="1" applyFont="1" applyFill="1" applyBorder="1" applyAlignment="1">
      <alignment horizontal="right" vertical="top"/>
    </xf>
    <xf numFmtId="165" fontId="6" fillId="0" borderId="19" xfId="0" applyNumberFormat="1" applyFont="1" applyFill="1" applyBorder="1" applyAlignment="1">
      <alignment horizontal="right" vertical="top"/>
    </xf>
    <xf numFmtId="165" fontId="6" fillId="0" borderId="50" xfId="0" applyNumberFormat="1" applyFont="1" applyFill="1" applyBorder="1" applyAlignment="1">
      <alignment vertical="top"/>
    </xf>
    <xf numFmtId="165" fontId="6" fillId="0" borderId="24" xfId="0" applyNumberFormat="1" applyFont="1" applyFill="1" applyBorder="1" applyAlignment="1">
      <alignment vertical="top"/>
    </xf>
    <xf numFmtId="165" fontId="6" fillId="3" borderId="20" xfId="0" applyNumberFormat="1" applyFont="1" applyFill="1" applyBorder="1" applyAlignment="1">
      <alignment horizontal="right" vertical="top"/>
    </xf>
    <xf numFmtId="164" fontId="6" fillId="0" borderId="18" xfId="0" applyNumberFormat="1" applyFont="1" applyFill="1" applyBorder="1" applyAlignment="1">
      <alignment horizontal="right" vertical="top"/>
    </xf>
    <xf numFmtId="164" fontId="6" fillId="3" borderId="38" xfId="0" applyNumberFormat="1" applyFont="1" applyFill="1" applyBorder="1" applyAlignment="1">
      <alignment vertical="top"/>
    </xf>
    <xf numFmtId="164" fontId="6" fillId="3" borderId="37" xfId="0" applyNumberFormat="1" applyFont="1" applyFill="1" applyBorder="1" applyAlignment="1">
      <alignment horizontal="right" vertical="top"/>
    </xf>
    <xf numFmtId="164" fontId="6" fillId="3" borderId="62" xfId="0" applyNumberFormat="1" applyFont="1" applyFill="1" applyBorder="1" applyAlignment="1">
      <alignment horizontal="right" vertical="top"/>
    </xf>
    <xf numFmtId="165" fontId="6" fillId="3" borderId="59" xfId="0" applyNumberFormat="1" applyFont="1" applyFill="1" applyBorder="1" applyAlignment="1">
      <alignment horizontal="right" vertical="top"/>
    </xf>
    <xf numFmtId="165" fontId="6" fillId="0" borderId="55" xfId="0" applyNumberFormat="1" applyFont="1" applyFill="1" applyBorder="1" applyAlignment="1">
      <alignment horizontal="right" vertical="top"/>
    </xf>
    <xf numFmtId="165" fontId="6" fillId="0" borderId="52" xfId="0" applyNumberFormat="1" applyFont="1" applyFill="1" applyBorder="1" applyAlignment="1">
      <alignment vertical="top"/>
    </xf>
    <xf numFmtId="165" fontId="6" fillId="0" borderId="55" xfId="0" applyNumberFormat="1" applyFont="1" applyFill="1" applyBorder="1" applyAlignment="1">
      <alignment vertical="top"/>
    </xf>
    <xf numFmtId="0" fontId="0" fillId="0" borderId="59" xfId="0" applyBorder="1" applyAlignment="1">
      <alignment horizontal="center" vertical="top"/>
    </xf>
    <xf numFmtId="3" fontId="12" fillId="0" borderId="39" xfId="0" applyNumberFormat="1" applyFont="1" applyFill="1" applyBorder="1" applyAlignment="1">
      <alignment horizontal="left" vertical="center" wrapText="1"/>
    </xf>
    <xf numFmtId="3" fontId="12" fillId="0" borderId="67" xfId="0" applyNumberFormat="1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top"/>
    </xf>
    <xf numFmtId="164" fontId="6" fillId="3" borderId="6" xfId="0" applyNumberFormat="1" applyFont="1" applyFill="1" applyBorder="1" applyAlignment="1">
      <alignment horizontal="center" vertical="top"/>
    </xf>
    <xf numFmtId="1" fontId="6" fillId="0" borderId="45" xfId="0" applyNumberFormat="1" applyFont="1" applyFill="1" applyBorder="1" applyAlignment="1">
      <alignment horizontal="center" vertical="top"/>
    </xf>
    <xf numFmtId="164" fontId="6" fillId="3" borderId="48" xfId="0" applyNumberFormat="1" applyFont="1" applyFill="1" applyBorder="1" applyAlignment="1">
      <alignment horizontal="center" vertical="top"/>
    </xf>
    <xf numFmtId="1" fontId="6" fillId="0" borderId="18" xfId="0" applyNumberFormat="1" applyFont="1" applyFill="1" applyBorder="1" applyAlignment="1">
      <alignment horizontal="center" vertical="top"/>
    </xf>
    <xf numFmtId="164" fontId="6" fillId="3" borderId="19" xfId="0" applyNumberFormat="1" applyFont="1" applyFill="1" applyBorder="1" applyAlignment="1">
      <alignment horizontal="center" vertical="top"/>
    </xf>
    <xf numFmtId="164" fontId="6" fillId="3" borderId="20" xfId="0" applyNumberFormat="1" applyFont="1" applyFill="1" applyBorder="1" applyAlignment="1">
      <alignment horizontal="center" vertical="top"/>
    </xf>
    <xf numFmtId="164" fontId="1" fillId="4" borderId="52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0" fontId="1" fillId="0" borderId="19" xfId="0" applyNumberFormat="1" applyFont="1" applyFill="1" applyBorder="1" applyAlignment="1">
      <alignment horizontal="center" vertical="top" wrapText="1"/>
    </xf>
    <xf numFmtId="165" fontId="6" fillId="3" borderId="33" xfId="0" applyNumberFormat="1" applyFont="1" applyFill="1" applyBorder="1" applyAlignment="1">
      <alignment horizontal="center" vertical="top"/>
    </xf>
    <xf numFmtId="168" fontId="6" fillId="3" borderId="33" xfId="0" applyNumberFormat="1" applyFont="1" applyFill="1" applyBorder="1" applyAlignment="1">
      <alignment horizontal="center" vertical="top"/>
    </xf>
    <xf numFmtId="165" fontId="6" fillId="3" borderId="1" xfId="0" applyNumberFormat="1" applyFont="1" applyFill="1" applyBorder="1" applyAlignment="1">
      <alignment horizontal="center" vertical="top"/>
    </xf>
    <xf numFmtId="165" fontId="6" fillId="3" borderId="6" xfId="0" applyNumberFormat="1" applyFont="1" applyFill="1" applyBorder="1" applyAlignment="1">
      <alignment horizontal="center" vertical="top"/>
    </xf>
    <xf numFmtId="168" fontId="6" fillId="3" borderId="6" xfId="0" applyNumberFormat="1" applyFont="1" applyFill="1" applyBorder="1" applyAlignment="1">
      <alignment horizontal="center" vertical="top"/>
    </xf>
    <xf numFmtId="168" fontId="6" fillId="0" borderId="6" xfId="0" applyNumberFormat="1" applyFont="1" applyFill="1" applyBorder="1" applyAlignment="1">
      <alignment horizontal="center" vertical="top"/>
    </xf>
    <xf numFmtId="165" fontId="6" fillId="3" borderId="45" xfId="0" applyNumberFormat="1" applyFont="1" applyFill="1" applyBorder="1" applyAlignment="1">
      <alignment horizontal="center" vertical="top"/>
    </xf>
    <xf numFmtId="165" fontId="6" fillId="3" borderId="18" xfId="0" applyNumberFormat="1" applyFont="1" applyFill="1" applyBorder="1" applyAlignment="1">
      <alignment horizontal="center" vertical="top"/>
    </xf>
    <xf numFmtId="165" fontId="6" fillId="3" borderId="19" xfId="0" applyNumberFormat="1" applyFont="1" applyFill="1" applyBorder="1" applyAlignment="1">
      <alignment horizontal="center" vertical="top"/>
    </xf>
    <xf numFmtId="168" fontId="6" fillId="3" borderId="19" xfId="0" applyNumberFormat="1" applyFont="1" applyFill="1" applyBorder="1" applyAlignment="1">
      <alignment horizontal="center" vertical="top"/>
    </xf>
    <xf numFmtId="165" fontId="6" fillId="3" borderId="55" xfId="0" applyNumberFormat="1" applyFont="1" applyFill="1" applyBorder="1" applyAlignment="1">
      <alignment horizontal="center" vertical="top"/>
    </xf>
    <xf numFmtId="165" fontId="6" fillId="3" borderId="55" xfId="0" applyNumberFormat="1" applyFont="1" applyFill="1" applyBorder="1" applyAlignment="1">
      <alignment horizontal="right" vertical="top"/>
    </xf>
    <xf numFmtId="168" fontId="1" fillId="4" borderId="57" xfId="0" applyNumberFormat="1" applyFont="1" applyFill="1" applyBorder="1" applyAlignment="1">
      <alignment horizontal="right" vertical="top"/>
    </xf>
    <xf numFmtId="168" fontId="6" fillId="0" borderId="33" xfId="0" applyNumberFormat="1" applyFont="1" applyFill="1" applyBorder="1" applyAlignment="1">
      <alignment horizontal="right" vertical="top"/>
    </xf>
    <xf numFmtId="168" fontId="6" fillId="0" borderId="6" xfId="0" applyNumberFormat="1" applyFont="1" applyFill="1" applyBorder="1" applyAlignment="1">
      <alignment horizontal="right" vertical="top"/>
    </xf>
    <xf numFmtId="165" fontId="6" fillId="3" borderId="45" xfId="0" applyNumberFormat="1" applyFont="1" applyFill="1" applyBorder="1" applyAlignment="1">
      <alignment horizontal="right" vertical="top"/>
    </xf>
    <xf numFmtId="165" fontId="6" fillId="3" borderId="18" xfId="0" applyNumberFormat="1" applyFont="1" applyFill="1" applyBorder="1" applyAlignment="1">
      <alignment horizontal="right" vertical="top"/>
    </xf>
    <xf numFmtId="168" fontId="6" fillId="0" borderId="19" xfId="0" applyNumberFormat="1" applyFont="1" applyFill="1" applyBorder="1" applyAlignment="1">
      <alignment horizontal="right" vertical="top"/>
    </xf>
    <xf numFmtId="0" fontId="1" fillId="3" borderId="67" xfId="0" applyNumberFormat="1" applyFont="1" applyFill="1" applyBorder="1" applyAlignment="1">
      <alignment horizontal="center" vertical="top" wrapText="1"/>
    </xf>
    <xf numFmtId="0" fontId="1" fillId="3" borderId="52" xfId="0" applyNumberFormat="1" applyFont="1" applyFill="1" applyBorder="1" applyAlignment="1">
      <alignment horizontal="center" vertical="top" wrapText="1"/>
    </xf>
    <xf numFmtId="0" fontId="1" fillId="3" borderId="55" xfId="0" applyNumberFormat="1" applyFont="1" applyFill="1" applyBorder="1" applyAlignment="1">
      <alignment horizontal="center" vertical="top" wrapText="1"/>
    </xf>
    <xf numFmtId="0" fontId="1" fillId="0" borderId="55" xfId="0" applyNumberFormat="1" applyFont="1" applyFill="1" applyBorder="1" applyAlignment="1">
      <alignment horizontal="center" vertical="top" wrapText="1"/>
    </xf>
    <xf numFmtId="0" fontId="1" fillId="3" borderId="57" xfId="0" applyNumberFormat="1" applyFont="1" applyFill="1" applyBorder="1" applyAlignment="1">
      <alignment horizontal="center" vertical="top" wrapText="1"/>
    </xf>
    <xf numFmtId="0" fontId="1" fillId="3" borderId="13" xfId="0" applyNumberFormat="1" applyFont="1" applyFill="1" applyBorder="1" applyAlignment="1">
      <alignment horizontal="center" vertical="top" wrapText="1"/>
    </xf>
    <xf numFmtId="168" fontId="6" fillId="0" borderId="35" xfId="0" applyNumberFormat="1" applyFont="1" applyFill="1" applyBorder="1" applyAlignment="1">
      <alignment horizontal="right" vertical="top"/>
    </xf>
    <xf numFmtId="2" fontId="6" fillId="0" borderId="0" xfId="0" applyNumberFormat="1" applyFont="1" applyFill="1" applyBorder="1" applyAlignment="1">
      <alignment vertical="top"/>
    </xf>
    <xf numFmtId="2" fontId="1" fillId="0" borderId="0" xfId="0" applyNumberFormat="1" applyFont="1" applyFill="1" applyBorder="1" applyAlignment="1">
      <alignment horizontal="right" vertical="top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9" fillId="0" borderId="52" xfId="0" applyFont="1" applyBorder="1" applyAlignment="1">
      <alignment horizontal="center" vertical="center"/>
    </xf>
    <xf numFmtId="0" fontId="19" fillId="0" borderId="57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 wrapText="1"/>
    </xf>
    <xf numFmtId="0" fontId="19" fillId="0" borderId="59" xfId="0" applyFont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52" xfId="0" applyFont="1" applyBorder="1" applyAlignment="1">
      <alignment horizontal="center" vertical="center" wrapText="1"/>
    </xf>
    <xf numFmtId="0" fontId="19" fillId="0" borderId="57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72" xfId="0" applyFont="1" applyBorder="1" applyAlignment="1">
      <alignment horizontal="center" vertical="center" wrapText="1"/>
    </xf>
    <xf numFmtId="0" fontId="19" fillId="0" borderId="67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/>
    </xf>
    <xf numFmtId="0" fontId="19" fillId="0" borderId="43" xfId="0" applyFont="1" applyBorder="1"/>
    <xf numFmtId="1" fontId="19" fillId="0" borderId="34" xfId="0" applyNumberFormat="1" applyFont="1" applyBorder="1" applyAlignment="1">
      <alignment horizontal="center"/>
    </xf>
    <xf numFmtId="0" fontId="19" fillId="0" borderId="75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43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19" fillId="0" borderId="0" xfId="0" applyFont="1"/>
    <xf numFmtId="0" fontId="19" fillId="0" borderId="45" xfId="0" applyFont="1" applyBorder="1" applyAlignment="1">
      <alignment horizontal="center"/>
    </xf>
    <xf numFmtId="0" fontId="19" fillId="0" borderId="48" xfId="0" applyFont="1" applyBorder="1"/>
    <xf numFmtId="1" fontId="19" fillId="0" borderId="71" xfId="0" applyNumberFormat="1" applyFont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0" fontId="19" fillId="0" borderId="48" xfId="0" applyFont="1" applyBorder="1" applyAlignment="1">
      <alignment horizontal="center"/>
    </xf>
    <xf numFmtId="0" fontId="19" fillId="0" borderId="4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20" xfId="0" applyFont="1" applyBorder="1"/>
    <xf numFmtId="1" fontId="19" fillId="0" borderId="72" xfId="0" applyNumberFormat="1" applyFont="1" applyBorder="1" applyAlignment="1">
      <alignment horizontal="center"/>
    </xf>
    <xf numFmtId="0" fontId="19" fillId="0" borderId="49" xfId="0" applyFont="1" applyBorder="1" applyAlignment="1">
      <alignment horizontal="center"/>
    </xf>
    <xf numFmtId="0" fontId="19" fillId="0" borderId="67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70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9" fillId="0" borderId="52" xfId="0" applyFont="1" applyBorder="1" applyAlignment="1">
      <alignment horizontal="center"/>
    </xf>
    <xf numFmtId="0" fontId="19" fillId="0" borderId="57" xfId="0" applyFont="1" applyBorder="1" applyAlignment="1">
      <alignment horizontal="center"/>
    </xf>
    <xf numFmtId="0" fontId="19" fillId="0" borderId="60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53" xfId="0" applyFont="1" applyBorder="1" applyAlignment="1">
      <alignment horizontal="center"/>
    </xf>
    <xf numFmtId="0" fontId="19" fillId="0" borderId="20" xfId="0" applyFont="1" applyBorder="1" applyAlignment="1">
      <alignment horizontal="center" vertical="center" wrapText="1"/>
    </xf>
    <xf numFmtId="1" fontId="19" fillId="0" borderId="59" xfId="0" applyNumberFormat="1" applyFont="1" applyBorder="1" applyAlignment="1">
      <alignment horizontal="center"/>
    </xf>
    <xf numFmtId="0" fontId="19" fillId="0" borderId="54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167" fontId="0" fillId="0" borderId="26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7" fontId="0" fillId="0" borderId="45" xfId="0" applyNumberFormat="1" applyBorder="1" applyAlignment="1">
      <alignment horizontal="center"/>
    </xf>
    <xf numFmtId="167" fontId="0" fillId="0" borderId="16" xfId="0" applyNumberFormat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2" fontId="19" fillId="0" borderId="40" xfId="0" applyNumberFormat="1" applyFont="1" applyBorder="1" applyAlignment="1">
      <alignment horizontal="center"/>
    </xf>
    <xf numFmtId="0" fontId="19" fillId="0" borderId="73" xfId="0" applyFont="1" applyBorder="1" applyAlignment="1">
      <alignment horizontal="center" vertical="center" wrapText="1"/>
    </xf>
    <xf numFmtId="1" fontId="19" fillId="0" borderId="75" xfId="0" applyNumberFormat="1" applyFont="1" applyBorder="1" applyAlignment="1">
      <alignment horizontal="center"/>
    </xf>
    <xf numFmtId="1" fontId="19" fillId="0" borderId="54" xfId="0" applyNumberFormat="1" applyFont="1" applyBorder="1" applyAlignment="1">
      <alignment horizontal="center"/>
    </xf>
    <xf numFmtId="1" fontId="19" fillId="0" borderId="15" xfId="0" applyNumberFormat="1" applyFont="1" applyBorder="1" applyAlignment="1">
      <alignment horizontal="center"/>
    </xf>
    <xf numFmtId="1" fontId="19" fillId="0" borderId="44" xfId="0" applyNumberFormat="1" applyFont="1" applyBorder="1" applyAlignment="1">
      <alignment horizontal="center"/>
    </xf>
    <xf numFmtId="1" fontId="19" fillId="0" borderId="31" xfId="0" applyNumberFormat="1" applyFont="1" applyBorder="1" applyAlignment="1">
      <alignment horizontal="center"/>
    </xf>
    <xf numFmtId="0" fontId="19" fillId="0" borderId="59" xfId="0" applyFont="1" applyBorder="1" applyAlignment="1">
      <alignment horizontal="center"/>
    </xf>
    <xf numFmtId="1" fontId="19" fillId="0" borderId="3" xfId="0" applyNumberFormat="1" applyFont="1" applyBorder="1" applyAlignment="1">
      <alignment horizontal="center"/>
    </xf>
    <xf numFmtId="1" fontId="19" fillId="0" borderId="46" xfId="0" applyNumberFormat="1" applyFont="1" applyBorder="1" applyAlignment="1">
      <alignment horizontal="center"/>
    </xf>
    <xf numFmtId="1" fontId="19" fillId="0" borderId="49" xfId="0" applyNumberFormat="1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2" fontId="0" fillId="0" borderId="57" xfId="0" applyNumberFormat="1" applyBorder="1" applyAlignment="1">
      <alignment horizontal="center"/>
    </xf>
    <xf numFmtId="2" fontId="19" fillId="0" borderId="7" xfId="0" applyNumberFormat="1" applyFont="1" applyBorder="1" applyAlignment="1">
      <alignment horizontal="center"/>
    </xf>
    <xf numFmtId="2" fontId="19" fillId="0" borderId="39" xfId="0" applyNumberFormat="1" applyFont="1" applyBorder="1" applyAlignment="1">
      <alignment horizontal="center"/>
    </xf>
    <xf numFmtId="2" fontId="19" fillId="0" borderId="66" xfId="0" applyNumberFormat="1" applyFon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1" fontId="19" fillId="0" borderId="40" xfId="0" applyNumberFormat="1" applyFont="1" applyBorder="1" applyAlignment="1">
      <alignment horizontal="center"/>
    </xf>
    <xf numFmtId="1" fontId="0" fillId="0" borderId="54" xfId="0" applyNumberFormat="1" applyBorder="1" applyAlignment="1">
      <alignment horizontal="center"/>
    </xf>
    <xf numFmtId="2" fontId="19" fillId="0" borderId="32" xfId="0" applyNumberFormat="1" applyFont="1" applyBorder="1" applyAlignment="1">
      <alignment horizontal="center"/>
    </xf>
    <xf numFmtId="2" fontId="19" fillId="0" borderId="43" xfId="0" applyNumberFormat="1" applyFont="1" applyBorder="1" applyAlignment="1">
      <alignment horizontal="center"/>
    </xf>
    <xf numFmtId="2" fontId="19" fillId="0" borderId="34" xfId="0" applyNumberFormat="1" applyFont="1" applyBorder="1" applyAlignment="1">
      <alignment horizontal="center"/>
    </xf>
    <xf numFmtId="2" fontId="19" fillId="0" borderId="45" xfId="0" applyNumberFormat="1" applyFont="1" applyBorder="1" applyAlignment="1">
      <alignment horizontal="center"/>
    </xf>
    <xf numFmtId="2" fontId="19" fillId="0" borderId="48" xfId="0" applyNumberFormat="1" applyFont="1" applyBorder="1" applyAlignment="1">
      <alignment horizontal="center"/>
    </xf>
    <xf numFmtId="2" fontId="19" fillId="0" borderId="18" xfId="0" applyNumberFormat="1" applyFont="1" applyBorder="1" applyAlignment="1">
      <alignment horizontal="center"/>
    </xf>
    <xf numFmtId="2" fontId="19" fillId="0" borderId="20" xfId="0" applyNumberFormat="1" applyFont="1" applyBorder="1" applyAlignment="1">
      <alignment horizontal="center"/>
    </xf>
    <xf numFmtId="2" fontId="19" fillId="0" borderId="52" xfId="0" applyNumberFormat="1" applyFont="1" applyBorder="1" applyAlignment="1">
      <alignment horizontal="center"/>
    </xf>
    <xf numFmtId="2" fontId="19" fillId="0" borderId="57" xfId="0" applyNumberFormat="1" applyFont="1" applyBorder="1" applyAlignment="1">
      <alignment horizontal="center"/>
    </xf>
    <xf numFmtId="2" fontId="19" fillId="0" borderId="58" xfId="0" applyNumberFormat="1" applyFont="1" applyBorder="1" applyAlignment="1">
      <alignment horizontal="center"/>
    </xf>
    <xf numFmtId="2" fontId="19" fillId="0" borderId="15" xfId="0" applyNumberFormat="1" applyFont="1" applyBorder="1" applyAlignment="1">
      <alignment horizontal="center"/>
    </xf>
    <xf numFmtId="2" fontId="19" fillId="0" borderId="44" xfId="0" applyNumberFormat="1" applyFont="1" applyBorder="1" applyAlignment="1">
      <alignment horizontal="center"/>
    </xf>
    <xf numFmtId="2" fontId="19" fillId="0" borderId="31" xfId="0" applyNumberFormat="1" applyFont="1" applyBorder="1" applyAlignment="1">
      <alignment horizontal="center"/>
    </xf>
    <xf numFmtId="2" fontId="19" fillId="0" borderId="74" xfId="0" applyNumberFormat="1" applyFont="1" applyBorder="1" applyAlignment="1">
      <alignment horizontal="center"/>
    </xf>
    <xf numFmtId="0" fontId="22" fillId="0" borderId="52" xfId="0" applyFont="1" applyBorder="1" applyAlignment="1">
      <alignment horizontal="center" vertical="center"/>
    </xf>
    <xf numFmtId="0" fontId="22" fillId="0" borderId="57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/>
    </xf>
    <xf numFmtId="0" fontId="22" fillId="0" borderId="43" xfId="0" applyFont="1" applyBorder="1"/>
    <xf numFmtId="1" fontId="22" fillId="0" borderId="34" xfId="0" applyNumberFormat="1" applyFont="1" applyBorder="1" applyAlignment="1">
      <alignment horizontal="center"/>
    </xf>
    <xf numFmtId="2" fontId="22" fillId="0" borderId="40" xfId="0" applyNumberFormat="1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22" fillId="0" borderId="48" xfId="0" applyFont="1" applyBorder="1"/>
    <xf numFmtId="1" fontId="22" fillId="0" borderId="71" xfId="0" applyNumberFormat="1" applyFont="1" applyBorder="1" applyAlignment="1">
      <alignment horizontal="center"/>
    </xf>
    <xf numFmtId="2" fontId="22" fillId="0" borderId="39" xfId="0" applyNumberFormat="1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20" xfId="0" applyFont="1" applyBorder="1"/>
    <xf numFmtId="1" fontId="22" fillId="0" borderId="72" xfId="0" applyNumberFormat="1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57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2" fontId="22" fillId="0" borderId="33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1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170" fontId="22" fillId="0" borderId="2" xfId="0" applyNumberFormat="1" applyFont="1" applyBorder="1" applyAlignment="1">
      <alignment horizont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2" fontId="22" fillId="0" borderId="0" xfId="0" applyNumberFormat="1" applyFont="1" applyBorder="1" applyAlignment="1">
      <alignment horizontal="center"/>
    </xf>
    <xf numFmtId="170" fontId="22" fillId="0" borderId="0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wrapText="1"/>
    </xf>
    <xf numFmtId="167" fontId="22" fillId="0" borderId="1" xfId="0" applyNumberFormat="1" applyFont="1" applyBorder="1" applyAlignment="1">
      <alignment horizontal="center"/>
    </xf>
    <xf numFmtId="167" fontId="22" fillId="0" borderId="45" xfId="0" applyNumberFormat="1" applyFont="1" applyBorder="1" applyAlignment="1">
      <alignment horizontal="center"/>
    </xf>
    <xf numFmtId="167" fontId="22" fillId="0" borderId="16" xfId="0" applyNumberFormat="1" applyFont="1" applyBorder="1" applyAlignment="1">
      <alignment horizont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2" fillId="0" borderId="5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2" fontId="22" fillId="0" borderId="35" xfId="0" applyNumberFormat="1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2" fontId="22" fillId="0" borderId="19" xfId="0" applyNumberFormat="1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2" fontId="22" fillId="0" borderId="55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 vertical="center"/>
    </xf>
    <xf numFmtId="2" fontId="22" fillId="0" borderId="67" xfId="0" applyNumberFormat="1" applyFont="1" applyBorder="1" applyAlignment="1">
      <alignment horizontal="center"/>
    </xf>
    <xf numFmtId="2" fontId="22" fillId="0" borderId="53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 vertical="center" wrapText="1"/>
    </xf>
    <xf numFmtId="170" fontId="22" fillId="0" borderId="48" xfId="0" applyNumberFormat="1" applyFont="1" applyBorder="1" applyAlignment="1">
      <alignment horizontal="center"/>
    </xf>
    <xf numFmtId="170" fontId="22" fillId="0" borderId="39" xfId="0" applyNumberFormat="1" applyFont="1" applyBorder="1" applyAlignment="1">
      <alignment horizontal="center"/>
    </xf>
    <xf numFmtId="167" fontId="22" fillId="0" borderId="32" xfId="0" applyNumberFormat="1" applyFont="1" applyBorder="1" applyAlignment="1">
      <alignment horizontal="center"/>
    </xf>
    <xf numFmtId="167" fontId="22" fillId="0" borderId="18" xfId="0" applyNumberFormat="1" applyFont="1" applyBorder="1" applyAlignment="1">
      <alignment horizontal="center"/>
    </xf>
    <xf numFmtId="167" fontId="22" fillId="0" borderId="52" xfId="0" applyNumberFormat="1" applyFont="1" applyBorder="1" applyAlignment="1">
      <alignment horizontal="center"/>
    </xf>
    <xf numFmtId="167" fontId="22" fillId="0" borderId="53" xfId="0" applyNumberFormat="1" applyFont="1" applyBorder="1" applyAlignment="1">
      <alignment horizontal="center"/>
    </xf>
    <xf numFmtId="170" fontId="22" fillId="0" borderId="43" xfId="0" applyNumberFormat="1" applyFont="1" applyBorder="1" applyAlignment="1">
      <alignment horizontal="center"/>
    </xf>
    <xf numFmtId="170" fontId="22" fillId="0" borderId="20" xfId="0" applyNumberFormat="1" applyFont="1" applyBorder="1" applyAlignment="1">
      <alignment horizontal="center"/>
    </xf>
    <xf numFmtId="2" fontId="22" fillId="0" borderId="5" xfId="0" applyNumberFormat="1" applyFont="1" applyBorder="1" applyAlignment="1">
      <alignment horizontal="center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167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vertical="center"/>
    </xf>
    <xf numFmtId="2" fontId="22" fillId="0" borderId="0" xfId="0" applyNumberFormat="1" applyFont="1" applyBorder="1"/>
    <xf numFmtId="167" fontId="22" fillId="0" borderId="56" xfId="0" applyNumberFormat="1" applyFont="1" applyBorder="1" applyAlignment="1">
      <alignment horizontal="center"/>
    </xf>
    <xf numFmtId="167" fontId="22" fillId="0" borderId="57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170" fontId="22" fillId="0" borderId="7" xfId="0" applyNumberFormat="1" applyFont="1" applyBorder="1" applyAlignment="1">
      <alignment horizontal="center"/>
    </xf>
    <xf numFmtId="170" fontId="22" fillId="0" borderId="66" xfId="0" applyNumberFormat="1" applyFont="1" applyBorder="1" applyAlignment="1">
      <alignment horizontal="center"/>
    </xf>
    <xf numFmtId="170" fontId="22" fillId="0" borderId="17" xfId="0" applyNumberFormat="1" applyFont="1" applyBorder="1" applyAlignment="1">
      <alignment horizontal="center"/>
    </xf>
    <xf numFmtId="2" fontId="22" fillId="0" borderId="63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61" xfId="0" applyFont="1" applyBorder="1" applyAlignment="1">
      <alignment horizontal="center" vertical="center"/>
    </xf>
    <xf numFmtId="0" fontId="22" fillId="0" borderId="76" xfId="0" applyFont="1" applyBorder="1" applyAlignment="1">
      <alignment horizontal="center" vertical="center"/>
    </xf>
    <xf numFmtId="1" fontId="22" fillId="0" borderId="41" xfId="0" applyNumberFormat="1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167" fontId="22" fillId="0" borderId="59" xfId="0" applyNumberFormat="1" applyFont="1" applyBorder="1" applyAlignment="1">
      <alignment horizontal="center"/>
    </xf>
    <xf numFmtId="0" fontId="22" fillId="0" borderId="29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 wrapText="1"/>
    </xf>
    <xf numFmtId="1" fontId="22" fillId="0" borderId="51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7" fontId="22" fillId="0" borderId="60" xfId="0" applyNumberFormat="1" applyFont="1" applyBorder="1" applyAlignment="1">
      <alignment horizontal="center"/>
    </xf>
    <xf numFmtId="0" fontId="24" fillId="0" borderId="59" xfId="0" applyFont="1" applyBorder="1" applyAlignment="1">
      <alignment horizontal="center" vertical="center"/>
    </xf>
    <xf numFmtId="1" fontId="24" fillId="0" borderId="15" xfId="0" applyNumberFormat="1" applyFont="1" applyBorder="1" applyAlignment="1">
      <alignment horizontal="center"/>
    </xf>
    <xf numFmtId="1" fontId="24" fillId="0" borderId="41" xfId="0" applyNumberFormat="1" applyFont="1" applyBorder="1" applyAlignment="1">
      <alignment horizontal="center"/>
    </xf>
    <xf numFmtId="167" fontId="24" fillId="0" borderId="59" xfId="0" applyNumberFormat="1" applyFont="1" applyBorder="1" applyAlignment="1">
      <alignment horizontal="center"/>
    </xf>
    <xf numFmtId="0" fontId="22" fillId="0" borderId="77" xfId="0" applyFont="1" applyBorder="1"/>
    <xf numFmtId="0" fontId="22" fillId="0" borderId="61" xfId="0" applyFont="1" applyBorder="1"/>
    <xf numFmtId="0" fontId="22" fillId="0" borderId="77" xfId="0" applyFont="1" applyBorder="1" applyAlignment="1">
      <alignment horizontal="center" vertical="center"/>
    </xf>
    <xf numFmtId="0" fontId="22" fillId="0" borderId="77" xfId="0" applyFont="1" applyBorder="1" applyAlignment="1">
      <alignment horizontal="center"/>
    </xf>
    <xf numFmtId="1" fontId="22" fillId="0" borderId="61" xfId="0" applyNumberFormat="1" applyFont="1" applyBorder="1" applyAlignment="1">
      <alignment horizontal="center"/>
    </xf>
    <xf numFmtId="0" fontId="22" fillId="0" borderId="76" xfId="0" applyFont="1" applyBorder="1" applyAlignment="1">
      <alignment horizontal="center"/>
    </xf>
    <xf numFmtId="0" fontId="22" fillId="0" borderId="28" xfId="0" applyFont="1" applyBorder="1"/>
    <xf numFmtId="1" fontId="22" fillId="0" borderId="28" xfId="0" applyNumberFormat="1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2" fontId="22" fillId="0" borderId="28" xfId="0" applyNumberFormat="1" applyFont="1" applyBorder="1" applyAlignment="1">
      <alignment horizontal="center"/>
    </xf>
    <xf numFmtId="167" fontId="22" fillId="0" borderId="28" xfId="0" applyNumberFormat="1" applyFont="1" applyBorder="1" applyAlignment="1">
      <alignment horizontal="center"/>
    </xf>
    <xf numFmtId="170" fontId="22" fillId="0" borderId="28" xfId="0" applyNumberFormat="1" applyFont="1" applyBorder="1" applyAlignment="1">
      <alignment horizontal="center"/>
    </xf>
    <xf numFmtId="1" fontId="22" fillId="0" borderId="74" xfId="0" applyNumberFormat="1" applyFont="1" applyBorder="1" applyAlignment="1">
      <alignment horizontal="center"/>
    </xf>
    <xf numFmtId="0" fontId="22" fillId="0" borderId="0" xfId="0" applyFont="1" applyAlignment="1"/>
    <xf numFmtId="0" fontId="15" fillId="0" borderId="28" xfId="0" applyFont="1" applyBorder="1" applyAlignment="1">
      <alignment horizontal="center"/>
    </xf>
    <xf numFmtId="164" fontId="6" fillId="3" borderId="9" xfId="0" applyNumberFormat="1" applyFont="1" applyFill="1" applyBorder="1" applyAlignment="1">
      <alignment horizontal="center" vertical="top"/>
    </xf>
    <xf numFmtId="164" fontId="6" fillId="3" borderId="24" xfId="0" applyNumberFormat="1" applyFont="1" applyFill="1" applyBorder="1" applyAlignment="1">
      <alignment horizontal="center" vertical="top"/>
    </xf>
    <xf numFmtId="164" fontId="6" fillId="3" borderId="25" xfId="0" applyNumberFormat="1" applyFont="1" applyFill="1" applyBorder="1" applyAlignment="1">
      <alignment horizontal="center" vertical="top"/>
    </xf>
    <xf numFmtId="164" fontId="6" fillId="0" borderId="9" xfId="0" applyNumberFormat="1" applyFont="1" applyFill="1" applyBorder="1" applyAlignment="1">
      <alignment horizontal="center" vertical="top"/>
    </xf>
    <xf numFmtId="164" fontId="6" fillId="0" borderId="24" xfId="0" applyNumberFormat="1" applyFont="1" applyFill="1" applyBorder="1" applyAlignment="1">
      <alignment horizontal="center" vertical="top"/>
    </xf>
    <xf numFmtId="164" fontId="6" fillId="0" borderId="25" xfId="0" applyNumberFormat="1" applyFont="1" applyFill="1" applyBorder="1" applyAlignment="1">
      <alignment horizontal="center" vertical="top"/>
    </xf>
    <xf numFmtId="0" fontId="7" fillId="4" borderId="15" xfId="0" applyNumberFormat="1" applyFont="1" applyFill="1" applyBorder="1" applyAlignment="1">
      <alignment horizontal="center" vertical="top" wrapText="1"/>
    </xf>
    <xf numFmtId="0" fontId="1" fillId="4" borderId="62" xfId="0" applyNumberFormat="1" applyFont="1" applyFill="1" applyBorder="1" applyAlignment="1">
      <alignment horizontal="center" vertical="top" wrapText="1"/>
    </xf>
    <xf numFmtId="0" fontId="1" fillId="4" borderId="15" xfId="0" applyNumberFormat="1" applyFont="1" applyFill="1" applyBorder="1" applyAlignment="1">
      <alignment horizontal="center" vertical="top" wrapText="1"/>
    </xf>
    <xf numFmtId="0" fontId="9" fillId="0" borderId="13" xfId="0" applyNumberFormat="1" applyFont="1" applyFill="1" applyBorder="1" applyAlignment="1">
      <alignment horizontal="center" vertical="top" wrapText="1"/>
    </xf>
    <xf numFmtId="0" fontId="9" fillId="0" borderId="29" xfId="0" applyNumberFormat="1" applyFont="1" applyFill="1" applyBorder="1" applyAlignment="1">
      <alignment horizontal="center" vertical="top" wrapText="1"/>
    </xf>
    <xf numFmtId="0" fontId="1" fillId="0" borderId="9" xfId="0" applyNumberFormat="1" applyFont="1" applyFill="1" applyBorder="1" applyAlignment="1">
      <alignment horizontal="center" vertical="top" wrapText="1"/>
    </xf>
    <xf numFmtId="0" fontId="1" fillId="0" borderId="25" xfId="0" applyNumberFormat="1" applyFont="1" applyFill="1" applyBorder="1" applyAlignment="1">
      <alignment horizontal="center" vertical="top" wrapText="1"/>
    </xf>
    <xf numFmtId="0" fontId="1" fillId="3" borderId="9" xfId="0" applyNumberFormat="1" applyFont="1" applyFill="1" applyBorder="1" applyAlignment="1">
      <alignment horizontal="center" vertical="top" wrapText="1"/>
    </xf>
    <xf numFmtId="0" fontId="1" fillId="3" borderId="25" xfId="0" applyNumberFormat="1" applyFont="1" applyFill="1" applyBorder="1" applyAlignment="1">
      <alignment horizontal="center" vertical="top" wrapText="1"/>
    </xf>
    <xf numFmtId="0" fontId="1" fillId="3" borderId="10" xfId="0" applyNumberFormat="1" applyFont="1" applyFill="1" applyBorder="1" applyAlignment="1">
      <alignment horizontal="center" vertical="top" wrapText="1"/>
    </xf>
    <xf numFmtId="0" fontId="1" fillId="3" borderId="26" xfId="0" applyNumberFormat="1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center" vertical="top" wrapText="1"/>
    </xf>
    <xf numFmtId="0" fontId="1" fillId="0" borderId="22" xfId="0" applyNumberFormat="1" applyFont="1" applyFill="1" applyBorder="1" applyAlignment="1">
      <alignment horizontal="center" vertical="top" wrapText="1"/>
    </xf>
    <xf numFmtId="0" fontId="1" fillId="4" borderId="31" xfId="0" applyNumberFormat="1" applyFont="1" applyFill="1" applyBorder="1" applyAlignment="1">
      <alignment horizontal="center" vertical="top" wrapText="1"/>
    </xf>
    <xf numFmtId="164" fontId="6" fillId="0" borderId="7" xfId="0" applyNumberFormat="1" applyFont="1" applyFill="1" applyBorder="1" applyAlignment="1">
      <alignment horizontal="center" vertical="top"/>
    </xf>
    <xf numFmtId="164" fontId="6" fillId="0" borderId="39" xfId="0" applyNumberFormat="1" applyFont="1" applyFill="1" applyBorder="1" applyAlignment="1">
      <alignment horizontal="center" vertical="top"/>
    </xf>
    <xf numFmtId="164" fontId="6" fillId="0" borderId="21" xfId="0" applyNumberFormat="1" applyFont="1" applyFill="1" applyBorder="1" applyAlignment="1">
      <alignment horizontal="center" vertical="top"/>
    </xf>
    <xf numFmtId="164" fontId="6" fillId="0" borderId="37" xfId="0" applyNumberFormat="1" applyFont="1" applyFill="1" applyBorder="1" applyAlignment="1">
      <alignment horizontal="right" vertical="top"/>
    </xf>
    <xf numFmtId="164" fontId="6" fillId="0" borderId="28" xfId="0" applyNumberFormat="1" applyFont="1" applyFill="1" applyBorder="1" applyAlignment="1">
      <alignment horizontal="right" vertical="top"/>
    </xf>
    <xf numFmtId="0" fontId="6" fillId="0" borderId="0" xfId="0" applyNumberFormat="1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right" vertical="top"/>
    </xf>
    <xf numFmtId="164" fontId="6" fillId="0" borderId="48" xfId="0" applyNumberFormat="1" applyFont="1" applyFill="1" applyBorder="1" applyAlignment="1">
      <alignment horizontal="right" vertical="top"/>
    </xf>
    <xf numFmtId="164" fontId="6" fillId="0" borderId="68" xfId="0" applyNumberFormat="1" applyFont="1" applyFill="1" applyBorder="1" applyAlignment="1">
      <alignment horizontal="right" vertical="top"/>
    </xf>
    <xf numFmtId="164" fontId="6" fillId="3" borderId="19" xfId="0" applyNumberFormat="1" applyFont="1" applyFill="1" applyBorder="1" applyAlignment="1">
      <alignment horizontal="center" vertical="center"/>
    </xf>
    <xf numFmtId="164" fontId="6" fillId="3" borderId="24" xfId="0" applyNumberFormat="1" applyFont="1" applyFill="1" applyBorder="1" applyAlignment="1">
      <alignment horizontal="center" vertical="center"/>
    </xf>
    <xf numFmtId="164" fontId="6" fillId="3" borderId="34" xfId="0" applyNumberFormat="1" applyFont="1" applyFill="1" applyBorder="1" applyAlignment="1">
      <alignment horizontal="center" vertical="center"/>
    </xf>
    <xf numFmtId="165" fontId="6" fillId="3" borderId="24" xfId="0" applyNumberFormat="1" applyFont="1" applyFill="1" applyBorder="1" applyAlignment="1">
      <alignment horizontal="center" vertical="center"/>
    </xf>
    <xf numFmtId="165" fontId="6" fillId="3" borderId="28" xfId="0" applyNumberFormat="1" applyFont="1" applyFill="1" applyBorder="1" applyAlignment="1">
      <alignment horizontal="center" vertical="center"/>
    </xf>
    <xf numFmtId="164" fontId="6" fillId="3" borderId="28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45" xfId="0" applyNumberFormat="1" applyFont="1" applyFill="1" applyBorder="1" applyAlignment="1">
      <alignment horizontal="center" vertical="center"/>
    </xf>
    <xf numFmtId="164" fontId="6" fillId="3" borderId="1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39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0" fontId="1" fillId="0" borderId="15" xfId="0" applyNumberFormat="1" applyFont="1" applyFill="1" applyBorder="1" applyAlignment="1">
      <alignment horizontal="center" vertical="top" wrapText="1"/>
    </xf>
    <xf numFmtId="0" fontId="1" fillId="0" borderId="31" xfId="0" applyNumberFormat="1" applyFont="1" applyFill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center" vertical="top" wrapText="1"/>
    </xf>
    <xf numFmtId="0" fontId="1" fillId="3" borderId="17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Fill="1" applyBorder="1" applyAlignment="1">
      <alignment horizontal="center" vertical="top" wrapText="1"/>
    </xf>
    <xf numFmtId="0" fontId="1" fillId="0" borderId="29" xfId="0" applyNumberFormat="1" applyFont="1" applyFill="1" applyBorder="1" applyAlignment="1">
      <alignment horizontal="center" vertical="top" wrapText="1"/>
    </xf>
    <xf numFmtId="0" fontId="1" fillId="3" borderId="14" xfId="0" applyNumberFormat="1" applyFont="1" applyFill="1" applyBorder="1" applyAlignment="1">
      <alignment horizontal="center" vertical="top" wrapText="1"/>
    </xf>
    <xf numFmtId="0" fontId="1" fillId="3" borderId="30" xfId="0" applyNumberFormat="1" applyFont="1" applyFill="1" applyBorder="1" applyAlignment="1">
      <alignment horizontal="center" vertical="top" wrapText="1"/>
    </xf>
    <xf numFmtId="164" fontId="6" fillId="0" borderId="7" xfId="0" applyNumberFormat="1" applyFont="1" applyFill="1" applyBorder="1" applyAlignment="1">
      <alignment horizontal="right" vertical="top"/>
    </xf>
    <xf numFmtId="164" fontId="6" fillId="0" borderId="39" xfId="0" applyNumberFormat="1" applyFont="1" applyFill="1" applyBorder="1" applyAlignment="1">
      <alignment horizontal="right" vertical="top"/>
    </xf>
    <xf numFmtId="164" fontId="6" fillId="0" borderId="21" xfId="0" applyNumberFormat="1" applyFont="1" applyFill="1" applyBorder="1" applyAlignment="1">
      <alignment horizontal="right" vertical="top"/>
    </xf>
    <xf numFmtId="0" fontId="1" fillId="3" borderId="11" xfId="0" applyNumberFormat="1" applyFont="1" applyFill="1" applyBorder="1" applyAlignment="1">
      <alignment horizontal="center" vertical="top" wrapText="1"/>
    </xf>
    <xf numFmtId="0" fontId="1" fillId="3" borderId="27" xfId="0" applyNumberFormat="1" applyFont="1" applyFill="1" applyBorder="1" applyAlignment="1">
      <alignment horizontal="center" vertical="top" wrapText="1"/>
    </xf>
    <xf numFmtId="0" fontId="1" fillId="0" borderId="11" xfId="0" applyNumberFormat="1" applyFont="1" applyFill="1" applyBorder="1" applyAlignment="1">
      <alignment horizontal="center" vertical="top" wrapText="1"/>
    </xf>
    <xf numFmtId="0" fontId="1" fillId="0" borderId="27" xfId="0" applyNumberFormat="1" applyFont="1" applyFill="1" applyBorder="1" applyAlignment="1">
      <alignment horizontal="center" vertical="top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23" xfId="0" applyNumberFormat="1" applyFont="1" applyFill="1" applyBorder="1" applyAlignment="1">
      <alignment horizontal="center" vertical="top" wrapText="1"/>
    </xf>
    <xf numFmtId="0" fontId="1" fillId="4" borderId="11" xfId="0" applyNumberFormat="1" applyFont="1" applyFill="1" applyBorder="1" applyAlignment="1">
      <alignment horizontal="center" vertical="top" wrapText="1"/>
    </xf>
    <xf numFmtId="0" fontId="1" fillId="4" borderId="27" xfId="0" applyNumberFormat="1" applyFont="1" applyFill="1" applyBorder="1" applyAlignment="1">
      <alignment horizontal="center" vertical="top" wrapText="1"/>
    </xf>
    <xf numFmtId="0" fontId="1" fillId="3" borderId="12" xfId="0" applyNumberFormat="1" applyFont="1" applyFill="1" applyBorder="1" applyAlignment="1">
      <alignment horizontal="center" vertical="top" wrapText="1"/>
    </xf>
    <xf numFmtId="0" fontId="1" fillId="3" borderId="28" xfId="0" applyNumberFormat="1" applyFont="1" applyFill="1" applyBorder="1" applyAlignment="1">
      <alignment horizontal="center" vertical="top" wrapText="1"/>
    </xf>
    <xf numFmtId="0" fontId="1" fillId="4" borderId="12" xfId="0" applyNumberFormat="1" applyFont="1" applyFill="1" applyBorder="1" applyAlignment="1">
      <alignment horizontal="center" vertical="top" wrapText="1"/>
    </xf>
    <xf numFmtId="0" fontId="1" fillId="4" borderId="28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16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6" xfId="0" applyNumberFormat="1" applyFont="1" applyFill="1" applyBorder="1" applyAlignment="1">
      <alignment horizontal="center" vertical="top" wrapText="1"/>
    </xf>
    <xf numFmtId="0" fontId="1" fillId="3" borderId="8" xfId="0" applyNumberFormat="1" applyFont="1" applyFill="1" applyBorder="1" applyAlignment="1">
      <alignment horizontal="center" vertical="top" wrapText="1"/>
    </xf>
    <xf numFmtId="0" fontId="1" fillId="3" borderId="23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 wrapText="1"/>
    </xf>
    <xf numFmtId="0" fontId="1" fillId="0" borderId="66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3" borderId="4" xfId="0" applyNumberFormat="1" applyFont="1" applyFill="1" applyBorder="1" applyAlignment="1">
      <alignment horizontal="center" vertical="top" wrapText="1"/>
    </xf>
    <xf numFmtId="0" fontId="1" fillId="3" borderId="21" xfId="0" applyNumberFormat="1" applyFont="1" applyFill="1" applyBorder="1" applyAlignment="1">
      <alignment horizontal="center" vertical="top" wrapText="1"/>
    </xf>
    <xf numFmtId="0" fontId="0" fillId="0" borderId="6" xfId="0" applyBorder="1"/>
    <xf numFmtId="0" fontId="0" fillId="0" borderId="2" xfId="0" applyBorder="1"/>
    <xf numFmtId="0" fontId="1" fillId="0" borderId="10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Fill="1" applyBorder="1" applyAlignment="1">
      <alignment horizontal="center" vertical="top" wrapText="1"/>
    </xf>
    <xf numFmtId="0" fontId="1" fillId="3" borderId="24" xfId="0" applyNumberFormat="1" applyFont="1" applyFill="1" applyBorder="1" applyAlignment="1">
      <alignment horizontal="center" vertical="top" wrapText="1"/>
    </xf>
    <xf numFmtId="0" fontId="21" fillId="0" borderId="28" xfId="0" applyFont="1" applyBorder="1" applyAlignment="1">
      <alignment horizontal="center" wrapText="1"/>
    </xf>
    <xf numFmtId="1" fontId="19" fillId="0" borderId="61" xfId="0" applyNumberFormat="1" applyFont="1" applyBorder="1" applyAlignment="1">
      <alignment horizontal="center" vertical="center"/>
    </xf>
    <xf numFmtId="1" fontId="19" fillId="0" borderId="74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67" xfId="0" applyFont="1" applyBorder="1" applyAlignment="1">
      <alignment horizontal="center" vertical="center" wrapText="1"/>
    </xf>
    <xf numFmtId="0" fontId="19" fillId="0" borderId="73" xfId="0" applyFont="1" applyBorder="1" applyAlignment="1">
      <alignment horizontal="center" vertical="center"/>
    </xf>
    <xf numFmtId="0" fontId="19" fillId="0" borderId="6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textRotation="180" wrapText="1"/>
    </xf>
    <xf numFmtId="0" fontId="0" fillId="0" borderId="27" xfId="0" applyBorder="1" applyAlignment="1">
      <alignment horizontal="center"/>
    </xf>
    <xf numFmtId="0" fontId="19" fillId="0" borderId="1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2" fillId="0" borderId="0" xfId="0" applyFont="1" applyAlignment="1">
      <alignment horizontal="right" wrapText="1"/>
    </xf>
    <xf numFmtId="0" fontId="24" fillId="0" borderId="73" xfId="0" applyFont="1" applyBorder="1" applyAlignment="1">
      <alignment horizontal="center" vertical="center" wrapText="1"/>
    </xf>
    <xf numFmtId="0" fontId="24" fillId="0" borderId="61" xfId="0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22" fillId="0" borderId="77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6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76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1" fontId="22" fillId="0" borderId="61" xfId="0" applyNumberFormat="1" applyFont="1" applyBorder="1" applyAlignment="1">
      <alignment horizontal="center" vertical="center"/>
    </xf>
    <xf numFmtId="1" fontId="22" fillId="0" borderId="74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69" xfId="0" applyFont="1" applyBorder="1" applyAlignment="1">
      <alignment horizontal="center" vertical="center" wrapText="1"/>
    </xf>
    <xf numFmtId="0" fontId="22" fillId="0" borderId="79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78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4" fillId="0" borderId="74" xfId="0" applyFont="1" applyBorder="1" applyAlignment="1">
      <alignment horizontal="center" vertical="center" wrapText="1"/>
    </xf>
    <xf numFmtId="0" fontId="22" fillId="0" borderId="66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" fontId="22" fillId="0" borderId="0" xfId="0" applyNumberFormat="1" applyFont="1" applyBorder="1" applyAlignment="1">
      <alignment horizontal="center" vertical="center"/>
    </xf>
    <xf numFmtId="1" fontId="22" fillId="0" borderId="28" xfId="0" applyNumberFormat="1" applyFont="1" applyBorder="1" applyAlignment="1">
      <alignment horizontal="center" vertical="center"/>
    </xf>
    <xf numFmtId="0" fontId="23" fillId="0" borderId="2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6" sqref="B2:B16"/>
    </sheetView>
  </sheetViews>
  <sheetFormatPr defaultRowHeight="15"/>
  <cols>
    <col min="1" max="1" width="42.42578125" customWidth="1"/>
    <col min="2" max="2" width="23.140625" customWidth="1"/>
  </cols>
  <sheetData>
    <row r="1" spans="1:2" ht="31.5" customHeight="1" thickBot="1">
      <c r="A1" s="427" t="s">
        <v>96</v>
      </c>
      <c r="B1" s="427"/>
    </row>
    <row r="2" spans="1:2" ht="18.75">
      <c r="A2" s="119" t="s">
        <v>77</v>
      </c>
      <c r="B2" s="120">
        <v>1167.9463163188334</v>
      </c>
    </row>
    <row r="3" spans="1:2" ht="18.75">
      <c r="A3" s="121" t="s">
        <v>78</v>
      </c>
      <c r="B3" s="122">
        <v>1318.6135906462159</v>
      </c>
    </row>
    <row r="4" spans="1:2" ht="18.75">
      <c r="A4" s="121" t="s">
        <v>79</v>
      </c>
      <c r="B4" s="122">
        <v>1356.0054689464421</v>
      </c>
    </row>
    <row r="5" spans="1:2" ht="18.75">
      <c r="A5" s="121" t="s">
        <v>80</v>
      </c>
      <c r="B5" s="122">
        <v>1185.5424943424694</v>
      </c>
    </row>
    <row r="6" spans="1:2" ht="18.75">
      <c r="A6" s="121" t="s">
        <v>81</v>
      </c>
      <c r="B6" s="122">
        <v>9.8978501382951976</v>
      </c>
    </row>
    <row r="7" spans="1:2" ht="18.75">
      <c r="A7" s="121" t="s">
        <v>82</v>
      </c>
      <c r="B7" s="122">
        <v>2159.9308524013077</v>
      </c>
    </row>
    <row r="8" spans="1:2" ht="18.75">
      <c r="A8" s="121" t="s">
        <v>83</v>
      </c>
      <c r="B8" s="122">
        <v>1408.79400301735</v>
      </c>
    </row>
    <row r="9" spans="1:2" ht="18.75">
      <c r="A9" s="121" t="s">
        <v>84</v>
      </c>
      <c r="B9" s="122">
        <v>774.23183303997996</v>
      </c>
    </row>
    <row r="10" spans="1:2" ht="18.75">
      <c r="A10" s="121" t="s">
        <v>85</v>
      </c>
      <c r="B10" s="122">
        <v>1202.0389112396279</v>
      </c>
    </row>
    <row r="11" spans="1:2" ht="18.75">
      <c r="A11" s="121" t="s">
        <v>86</v>
      </c>
      <c r="B11" s="122">
        <v>2338.0921548906213</v>
      </c>
    </row>
    <row r="12" spans="1:2" ht="18.75">
      <c r="A12" s="121" t="s">
        <v>87</v>
      </c>
      <c r="B12" s="122">
        <v>133.07109630374654</v>
      </c>
    </row>
    <row r="13" spans="1:2" ht="18.75">
      <c r="A13" s="121" t="s">
        <v>88</v>
      </c>
      <c r="B13" s="122">
        <v>1650.7414508423435</v>
      </c>
    </row>
    <row r="14" spans="1:2" ht="18.75">
      <c r="A14" s="121" t="s">
        <v>89</v>
      </c>
      <c r="B14" s="122">
        <v>1137.1530047774704</v>
      </c>
    </row>
    <row r="15" spans="1:2" ht="18.75">
      <c r="A15" s="121" t="s">
        <v>90</v>
      </c>
      <c r="B15" s="122">
        <v>1100.8608876037215</v>
      </c>
    </row>
    <row r="16" spans="1:2" ht="19.5" thickBot="1">
      <c r="A16" s="123" t="s">
        <v>91</v>
      </c>
      <c r="B16" s="124">
        <v>552.0800854915766</v>
      </c>
    </row>
    <row r="17" spans="1:2" ht="18.75" thickBot="1">
      <c r="A17" s="125" t="s">
        <v>95</v>
      </c>
      <c r="B17" s="126">
        <v>17495.000000000004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T579"/>
  <sheetViews>
    <sheetView topLeftCell="BJ1" workbookViewId="0">
      <selection activeCell="CE6" sqref="CE6"/>
    </sheetView>
  </sheetViews>
  <sheetFormatPr defaultColWidth="19" defaultRowHeight="12.75"/>
  <cols>
    <col min="1" max="1" width="4" style="6" customWidth="1"/>
    <col min="2" max="2" width="22" style="6" customWidth="1"/>
    <col min="3" max="3" width="6.85546875" style="6" customWidth="1"/>
    <col min="4" max="4" width="4.7109375" style="6" customWidth="1"/>
    <col min="5" max="5" width="7.28515625" style="6" customWidth="1"/>
    <col min="6" max="6" width="3.7109375" style="6" customWidth="1"/>
    <col min="7" max="7" width="9" style="6" customWidth="1"/>
    <col min="8" max="8" width="7.5703125" style="6" customWidth="1"/>
    <col min="9" max="9" width="7.7109375" style="6" customWidth="1"/>
    <col min="10" max="10" width="8.85546875" style="6" customWidth="1"/>
    <col min="11" max="11" width="5" style="6" customWidth="1"/>
    <col min="12" max="12" width="4.7109375" style="6" customWidth="1"/>
    <col min="13" max="13" width="9.28515625" style="6" customWidth="1"/>
    <col min="14" max="14" width="8.7109375" style="6" customWidth="1"/>
    <col min="15" max="16" width="6.42578125" style="6" customWidth="1"/>
    <col min="17" max="17" width="7.5703125" style="6" customWidth="1"/>
    <col min="18" max="18" width="4.7109375" style="6" customWidth="1"/>
    <col min="19" max="19" width="8.42578125" style="6" customWidth="1"/>
    <col min="20" max="20" width="6.42578125" style="6" customWidth="1"/>
    <col min="21" max="21" width="5.5703125" style="6" customWidth="1"/>
    <col min="22" max="22" width="6.5703125" style="6" customWidth="1"/>
    <col min="23" max="23" width="5.140625" style="6" customWidth="1"/>
    <col min="24" max="24" width="5.85546875" style="6" customWidth="1"/>
    <col min="25" max="25" width="6.5703125" style="6" customWidth="1"/>
    <col min="26" max="26" width="6.7109375" style="6" customWidth="1"/>
    <col min="27" max="27" width="8.42578125" style="6" customWidth="1"/>
    <col min="28" max="28" width="8.5703125" style="6" customWidth="1"/>
    <col min="29" max="29" width="5.140625" style="6" customWidth="1"/>
    <col min="30" max="30" width="5.28515625" style="6" customWidth="1"/>
    <col min="31" max="31" width="6.85546875" style="6" customWidth="1"/>
    <col min="32" max="32" width="5.42578125" style="6" customWidth="1"/>
    <col min="33" max="33" width="6.42578125" style="6" customWidth="1"/>
    <col min="34" max="34" width="6.140625" style="6" customWidth="1"/>
    <col min="35" max="35" width="6.5703125" style="6" customWidth="1"/>
    <col min="36" max="36" width="4.7109375" style="6" customWidth="1"/>
    <col min="37" max="38" width="5.85546875" style="6" customWidth="1"/>
    <col min="39" max="39" width="4.42578125" style="6" customWidth="1"/>
    <col min="40" max="40" width="4.28515625" style="6" customWidth="1"/>
    <col min="41" max="41" width="3" style="6" customWidth="1"/>
    <col min="42" max="42" width="3.85546875" style="6" customWidth="1"/>
    <col min="43" max="43" width="3.28515625" style="6" customWidth="1"/>
    <col min="44" max="44" width="5.5703125" style="6" customWidth="1"/>
    <col min="45" max="46" width="3.42578125" style="6" customWidth="1"/>
    <col min="47" max="47" width="2.5703125" style="6" customWidth="1"/>
    <col min="48" max="48" width="3" style="6" customWidth="1"/>
    <col min="49" max="50" width="4.140625" style="6" customWidth="1"/>
    <col min="51" max="51" width="4.28515625" style="6" customWidth="1"/>
    <col min="52" max="52" width="7.42578125" style="108" customWidth="1"/>
    <col min="53" max="53" width="7.140625" style="6" customWidth="1"/>
    <col min="54" max="54" width="4" style="6" customWidth="1"/>
    <col min="55" max="55" width="4.28515625" style="6" customWidth="1"/>
    <col min="56" max="56" width="4.140625" style="6" customWidth="1"/>
    <col min="57" max="57" width="2.42578125" style="6" customWidth="1"/>
    <col min="58" max="58" width="4.140625" style="9" customWidth="1"/>
    <col min="59" max="59" width="4.28515625" style="9" customWidth="1"/>
    <col min="60" max="60" width="3.140625" style="6" customWidth="1"/>
    <col min="61" max="61" width="2.5703125" style="6" customWidth="1"/>
    <col min="62" max="62" width="4" style="6" customWidth="1"/>
    <col min="63" max="63" width="5.28515625" style="6" customWidth="1"/>
    <col min="64" max="64" width="5.5703125" style="6" customWidth="1"/>
    <col min="65" max="65" width="4.42578125" style="6" customWidth="1"/>
    <col min="66" max="66" width="4.140625" style="6" customWidth="1"/>
    <col min="67" max="67" width="2.5703125" style="6" customWidth="1"/>
    <col min="68" max="68" width="2.7109375" style="9" customWidth="1"/>
    <col min="69" max="69" width="2.85546875" style="9" customWidth="1"/>
    <col min="70" max="70" width="7.140625" style="9" customWidth="1"/>
    <col min="71" max="71" width="2.28515625" style="9" customWidth="1"/>
    <col min="72" max="72" width="2.5703125" style="6" customWidth="1"/>
    <col min="73" max="74" width="4.42578125" style="6" customWidth="1"/>
    <col min="75" max="75" width="4.5703125" style="6" customWidth="1"/>
    <col min="76" max="76" width="4.42578125" style="6" customWidth="1"/>
    <col min="77" max="77" width="7" style="6" customWidth="1"/>
    <col min="78" max="78" width="2.85546875" style="6" customWidth="1"/>
    <col min="79" max="79" width="3.28515625" style="6" customWidth="1"/>
    <col min="80" max="80" width="6" style="6" customWidth="1"/>
    <col min="81" max="81" width="2.85546875" style="6" customWidth="1"/>
    <col min="82" max="82" width="2.7109375" style="6" customWidth="1"/>
    <col min="83" max="83" width="7.28515625" style="108" customWidth="1"/>
    <col min="84" max="84" width="7" style="6" customWidth="1"/>
    <col min="85" max="85" width="2.7109375" style="6" customWidth="1"/>
    <col min="86" max="86" width="6.28515625" style="6" customWidth="1"/>
    <col min="87" max="87" width="7.140625" style="108" customWidth="1"/>
    <col min="88" max="88" width="8.85546875" style="6" customWidth="1"/>
    <col min="89" max="89" width="7.42578125" style="6" customWidth="1"/>
    <col min="90" max="90" width="22.7109375" style="6" customWidth="1"/>
    <col min="91" max="91" width="10.28515625" style="6" customWidth="1"/>
    <col min="92" max="16384" width="19" style="6"/>
  </cols>
  <sheetData>
    <row r="1" spans="1:91" s="1" customFormat="1" ht="18">
      <c r="C1" s="500" t="s">
        <v>0</v>
      </c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/>
      <c r="S1" s="500"/>
      <c r="T1" s="500"/>
      <c r="U1" s="2"/>
      <c r="V1" s="2"/>
      <c r="W1" s="2"/>
      <c r="X1" s="2"/>
      <c r="Y1" s="2"/>
      <c r="Z1" s="2"/>
      <c r="AA1" s="2"/>
      <c r="BF1" s="3"/>
      <c r="BG1" s="3"/>
      <c r="BP1" s="3"/>
      <c r="BQ1" s="3"/>
      <c r="BR1" s="3"/>
      <c r="BS1" s="3"/>
    </row>
    <row r="2" spans="1:91" s="4" customFormat="1" ht="15.75">
      <c r="C2" s="501" t="s">
        <v>1</v>
      </c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BF2" s="5"/>
      <c r="BG2" s="5"/>
      <c r="BP2" s="5"/>
      <c r="BQ2" s="5"/>
      <c r="BR2" s="5"/>
      <c r="BS2" s="5"/>
    </row>
    <row r="3" spans="1:91" ht="13.5" thickBot="1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8" t="s">
        <v>2</v>
      </c>
      <c r="U3" s="7"/>
      <c r="V3" s="7"/>
      <c r="W3" s="7"/>
      <c r="X3" s="7"/>
      <c r="Y3" s="7"/>
      <c r="Z3" s="7"/>
      <c r="AA3" s="8"/>
      <c r="AZ3" s="6"/>
      <c r="CC3" s="1"/>
      <c r="CD3" s="1"/>
      <c r="CE3" s="6"/>
      <c r="CI3" s="6"/>
      <c r="CK3" s="1"/>
    </row>
    <row r="4" spans="1:91" s="10" customFormat="1" ht="15.75" customHeight="1" thickBot="1">
      <c r="A4" s="496" t="s">
        <v>3</v>
      </c>
      <c r="B4" s="503" t="s">
        <v>4</v>
      </c>
      <c r="C4" s="505" t="s">
        <v>5</v>
      </c>
      <c r="D4" s="506"/>
      <c r="E4" s="506"/>
      <c r="F4" s="506"/>
      <c r="G4" s="506"/>
      <c r="H4" s="506"/>
      <c r="I4" s="507"/>
      <c r="J4" s="508" t="s">
        <v>6</v>
      </c>
      <c r="K4" s="496" t="s">
        <v>7</v>
      </c>
      <c r="L4" s="445"/>
      <c r="M4" s="510"/>
      <c r="N4" s="510"/>
      <c r="O4" s="510"/>
      <c r="P4" s="510"/>
      <c r="Q4" s="511"/>
      <c r="R4" s="486" t="s">
        <v>8</v>
      </c>
      <c r="S4" s="486"/>
      <c r="T4" s="439"/>
      <c r="U4" s="439"/>
      <c r="V4" s="439"/>
      <c r="W4" s="512"/>
      <c r="X4" s="513"/>
      <c r="Y4" s="475" t="s">
        <v>9</v>
      </c>
      <c r="Z4" s="486"/>
      <c r="AA4" s="439"/>
      <c r="AB4" s="439"/>
      <c r="AC4" s="439"/>
      <c r="AD4" s="512"/>
      <c r="AE4" s="513"/>
      <c r="AF4" s="475" t="s">
        <v>10</v>
      </c>
      <c r="AG4" s="486"/>
      <c r="AH4" s="439"/>
      <c r="AI4" s="439"/>
      <c r="AJ4" s="439"/>
      <c r="AK4" s="512"/>
      <c r="AL4" s="513"/>
      <c r="AM4" s="475" t="s">
        <v>11</v>
      </c>
      <c r="AN4" s="486"/>
      <c r="AO4" s="439"/>
      <c r="AP4" s="439"/>
      <c r="AQ4" s="439"/>
      <c r="AR4" s="512"/>
      <c r="AS4" s="513"/>
      <c r="AT4" s="498" t="s">
        <v>12</v>
      </c>
      <c r="AU4" s="441" t="s">
        <v>13</v>
      </c>
      <c r="AV4" s="498" t="s">
        <v>14</v>
      </c>
      <c r="AW4" s="441" t="s">
        <v>15</v>
      </c>
      <c r="AX4" s="441" t="s">
        <v>16</v>
      </c>
      <c r="AY4" s="443" t="s">
        <v>17</v>
      </c>
      <c r="AZ4" s="488" t="s">
        <v>18</v>
      </c>
      <c r="BA4" s="490" t="s">
        <v>19</v>
      </c>
      <c r="BB4" s="475" t="s">
        <v>20</v>
      </c>
      <c r="BC4" s="439" t="s">
        <v>21</v>
      </c>
      <c r="BD4" s="439" t="s">
        <v>22</v>
      </c>
      <c r="BE4" s="477" t="s">
        <v>23</v>
      </c>
      <c r="BF4" s="475" t="s">
        <v>24</v>
      </c>
      <c r="BG4" s="441" t="s">
        <v>25</v>
      </c>
      <c r="BH4" s="486" t="s">
        <v>26</v>
      </c>
      <c r="BI4" s="441" t="s">
        <v>27</v>
      </c>
      <c r="BJ4" s="477" t="s">
        <v>28</v>
      </c>
      <c r="BK4" s="475" t="s">
        <v>29</v>
      </c>
      <c r="BL4" s="439" t="s">
        <v>30</v>
      </c>
      <c r="BM4" s="439" t="s">
        <v>31</v>
      </c>
      <c r="BN4" s="439" t="s">
        <v>32</v>
      </c>
      <c r="BO4" s="477" t="s">
        <v>33</v>
      </c>
      <c r="BP4" s="437" t="s">
        <v>34</v>
      </c>
      <c r="BQ4" s="439" t="s">
        <v>35</v>
      </c>
      <c r="BR4" s="441" t="s">
        <v>36</v>
      </c>
      <c r="BS4" s="441" t="s">
        <v>37</v>
      </c>
      <c r="BT4" s="443" t="s">
        <v>38</v>
      </c>
      <c r="BU4" s="496" t="s">
        <v>39</v>
      </c>
      <c r="BV4" s="445" t="s">
        <v>40</v>
      </c>
      <c r="BW4" s="445" t="s">
        <v>41</v>
      </c>
      <c r="BX4" s="473" t="s">
        <v>42</v>
      </c>
      <c r="BY4" s="475" t="s">
        <v>43</v>
      </c>
      <c r="BZ4" s="477" t="s">
        <v>44</v>
      </c>
      <c r="CA4" s="482" t="s">
        <v>45</v>
      </c>
      <c r="CB4" s="484" t="s">
        <v>46</v>
      </c>
      <c r="CC4" s="443" t="s">
        <v>47</v>
      </c>
      <c r="CD4" s="482" t="s">
        <v>48</v>
      </c>
      <c r="CE4" s="492" t="s">
        <v>49</v>
      </c>
      <c r="CF4" s="494" t="s">
        <v>50</v>
      </c>
      <c r="CG4" s="469" t="s">
        <v>51</v>
      </c>
      <c r="CH4" s="471" t="s">
        <v>52</v>
      </c>
      <c r="CI4" s="436" t="s">
        <v>97</v>
      </c>
      <c r="CJ4" s="434" t="s">
        <v>98</v>
      </c>
      <c r="CK4" s="436" t="s">
        <v>99</v>
      </c>
      <c r="CL4" s="436" t="s">
        <v>100</v>
      </c>
    </row>
    <row r="5" spans="1:91" s="14" customFormat="1" ht="78.75" customHeight="1" thickBot="1">
      <c r="A5" s="497"/>
      <c r="B5" s="504"/>
      <c r="C5" s="11" t="s">
        <v>53</v>
      </c>
      <c r="D5" s="12" t="s">
        <v>54</v>
      </c>
      <c r="E5" s="12" t="s">
        <v>55</v>
      </c>
      <c r="F5" s="12" t="s">
        <v>56</v>
      </c>
      <c r="G5" s="12" t="s">
        <v>57</v>
      </c>
      <c r="H5" s="12" t="s">
        <v>58</v>
      </c>
      <c r="I5" s="13" t="s">
        <v>59</v>
      </c>
      <c r="J5" s="509"/>
      <c r="K5" s="11" t="s">
        <v>60</v>
      </c>
      <c r="L5" s="12" t="s">
        <v>61</v>
      </c>
      <c r="M5" s="208" t="s">
        <v>62</v>
      </c>
      <c r="N5" s="208" t="s">
        <v>63</v>
      </c>
      <c r="O5" s="12" t="s">
        <v>64</v>
      </c>
      <c r="P5" s="12" t="s">
        <v>65</v>
      </c>
      <c r="Q5" s="227" t="s">
        <v>66</v>
      </c>
      <c r="R5" s="228" t="s">
        <v>60</v>
      </c>
      <c r="S5" s="229" t="s">
        <v>61</v>
      </c>
      <c r="T5" s="230" t="s">
        <v>67</v>
      </c>
      <c r="U5" s="230" t="s">
        <v>68</v>
      </c>
      <c r="V5" s="229" t="s">
        <v>69</v>
      </c>
      <c r="W5" s="229" t="s">
        <v>70</v>
      </c>
      <c r="X5" s="231" t="s">
        <v>66</v>
      </c>
      <c r="Y5" s="116" t="s">
        <v>60</v>
      </c>
      <c r="Z5" s="113" t="s">
        <v>61</v>
      </c>
      <c r="AA5" s="112" t="s">
        <v>67</v>
      </c>
      <c r="AB5" s="112" t="s">
        <v>68</v>
      </c>
      <c r="AC5" s="113" t="s">
        <v>71</v>
      </c>
      <c r="AD5" s="113" t="s">
        <v>72</v>
      </c>
      <c r="AE5" s="114" t="s">
        <v>66</v>
      </c>
      <c r="AF5" s="232" t="s">
        <v>60</v>
      </c>
      <c r="AG5" s="113" t="s">
        <v>61</v>
      </c>
      <c r="AH5" s="112" t="s">
        <v>67</v>
      </c>
      <c r="AI5" s="112" t="s">
        <v>68</v>
      </c>
      <c r="AJ5" s="113" t="s">
        <v>73</v>
      </c>
      <c r="AK5" s="113" t="s">
        <v>74</v>
      </c>
      <c r="AL5" s="114" t="s">
        <v>66</v>
      </c>
      <c r="AM5" s="232" t="s">
        <v>60</v>
      </c>
      <c r="AN5" s="113" t="s">
        <v>61</v>
      </c>
      <c r="AO5" s="112" t="s">
        <v>62</v>
      </c>
      <c r="AP5" s="112" t="s">
        <v>63</v>
      </c>
      <c r="AQ5" s="113" t="s">
        <v>75</v>
      </c>
      <c r="AR5" s="113" t="s">
        <v>76</v>
      </c>
      <c r="AS5" s="111" t="s">
        <v>66</v>
      </c>
      <c r="AT5" s="499"/>
      <c r="AU5" s="514"/>
      <c r="AV5" s="499"/>
      <c r="AW5" s="442"/>
      <c r="AX5" s="442"/>
      <c r="AY5" s="444"/>
      <c r="AZ5" s="489"/>
      <c r="BA5" s="491"/>
      <c r="BB5" s="476"/>
      <c r="BC5" s="440"/>
      <c r="BD5" s="440"/>
      <c r="BE5" s="478"/>
      <c r="BF5" s="476"/>
      <c r="BG5" s="442"/>
      <c r="BH5" s="487"/>
      <c r="BI5" s="442"/>
      <c r="BJ5" s="478"/>
      <c r="BK5" s="476"/>
      <c r="BL5" s="440"/>
      <c r="BM5" s="440"/>
      <c r="BN5" s="440"/>
      <c r="BO5" s="478"/>
      <c r="BP5" s="438"/>
      <c r="BQ5" s="440"/>
      <c r="BR5" s="442"/>
      <c r="BS5" s="442"/>
      <c r="BT5" s="444"/>
      <c r="BU5" s="497"/>
      <c r="BV5" s="446"/>
      <c r="BW5" s="446"/>
      <c r="BX5" s="474"/>
      <c r="BY5" s="476"/>
      <c r="BZ5" s="478"/>
      <c r="CA5" s="483"/>
      <c r="CB5" s="485"/>
      <c r="CC5" s="444"/>
      <c r="CD5" s="483"/>
      <c r="CE5" s="493"/>
      <c r="CF5" s="495"/>
      <c r="CG5" s="470"/>
      <c r="CH5" s="472"/>
      <c r="CI5" s="447"/>
      <c r="CJ5" s="435"/>
      <c r="CK5" s="435"/>
      <c r="CL5" s="435"/>
    </row>
    <row r="6" spans="1:91" ht="15">
      <c r="A6" s="15">
        <v>1</v>
      </c>
      <c r="B6" s="197" t="s">
        <v>77</v>
      </c>
      <c r="C6" s="199">
        <v>1167.9463163188334</v>
      </c>
      <c r="D6" s="431">
        <v>0</v>
      </c>
      <c r="E6" s="431">
        <v>32223</v>
      </c>
      <c r="F6" s="428">
        <v>1</v>
      </c>
      <c r="G6" s="200">
        <f>+C6</f>
        <v>1167.9463163188334</v>
      </c>
      <c r="H6" s="18">
        <v>0</v>
      </c>
      <c r="I6" s="19">
        <f>G6+H6</f>
        <v>1167.9463163188334</v>
      </c>
      <c r="J6" s="20">
        <f t="shared" ref="J6:J20" si="0">+I6</f>
        <v>1167.9463163188334</v>
      </c>
      <c r="K6" s="211">
        <f t="shared" ref="K6:L21" si="1">IF(O$21&lt;0,(-O6/O$21)*($Q$6/$J$21),((O6/O$21)*($Q$6/$J$21)))</f>
        <v>0.11904978053067269</v>
      </c>
      <c r="L6" s="212">
        <f t="shared" si="1"/>
        <v>0.11653290214829756</v>
      </c>
      <c r="M6" s="18">
        <v>147</v>
      </c>
      <c r="N6" s="18">
        <v>127</v>
      </c>
      <c r="O6" s="213">
        <f>(M6*0.4+N6*0.6)/J6</f>
        <v>0.11558750442014909</v>
      </c>
      <c r="P6" s="214">
        <f>65/C6*2</f>
        <v>0.11130648573792135</v>
      </c>
      <c r="Q6" s="448">
        <v>12241</v>
      </c>
      <c r="R6" s="21">
        <f t="shared" ref="R6:S21" si="2">IF(V$21&lt;0,(-V6/V$21)*($X$6/$J$21),((V6/V$21)*($X$6/$J$21)))</f>
        <v>0</v>
      </c>
      <c r="S6" s="129">
        <f t="shared" si="2"/>
        <v>0</v>
      </c>
      <c r="T6" s="22"/>
      <c r="U6" s="22"/>
      <c r="V6" s="131">
        <f t="shared" ref="V6:V21" si="3">(T6*0.4+U6*0.6)/J6</f>
        <v>0</v>
      </c>
      <c r="W6" s="233">
        <v>0</v>
      </c>
      <c r="X6" s="451">
        <v>0</v>
      </c>
      <c r="Y6" s="154">
        <f t="shared" ref="Y6:Z21" si="4">IF(AC$21&lt;0,(-AC6/AC$21)*($AE$6/$J$21),((AC6/AC$21)*($AE$6/$J$21)))</f>
        <v>6.2323043135628989E-4</v>
      </c>
      <c r="Z6" s="156">
        <f t="shared" si="4"/>
        <v>2.1927168860190888E-3</v>
      </c>
      <c r="AA6" s="155">
        <v>11</v>
      </c>
      <c r="AB6" s="155">
        <v>7</v>
      </c>
      <c r="AC6" s="156">
        <f t="shared" ref="AC6:AC21" si="5">(AA6*0.4+AB6*0.6)/J6</f>
        <v>7.3633521334317206E-3</v>
      </c>
      <c r="AD6" s="223">
        <f>3.5/J6*2</f>
        <v>5.9934261551188419E-3</v>
      </c>
      <c r="AE6" s="448">
        <v>162</v>
      </c>
      <c r="AF6" s="154">
        <f t="shared" ref="AF6:AG21" si="6">IF(AJ$21&lt;0,(-AJ6/AJ$21)*($AL$6/$J$21),((AJ6/AJ$21)*($AL$6/$J$21)))</f>
        <v>5.7080902256403269E-2</v>
      </c>
      <c r="AG6" s="156">
        <f t="shared" si="6"/>
        <v>4.2594161768879125E-2</v>
      </c>
      <c r="AH6" s="155">
        <v>58</v>
      </c>
      <c r="AI6" s="155">
        <v>66</v>
      </c>
      <c r="AJ6" s="157">
        <f t="shared" ref="AJ6:AJ21" si="7">(AH6*0.4+AI6*0.6)/J6</f>
        <v>5.3769594648780471E-2</v>
      </c>
      <c r="AK6" s="223">
        <f>37/C6*2</f>
        <v>6.3359076496970618E-2</v>
      </c>
      <c r="AL6" s="479">
        <v>4082</v>
      </c>
      <c r="AM6" s="154">
        <f t="shared" ref="AM6:AN21" si="8">IF(AQ$21&lt;0,(-AQ6/AQ$21)*($AS$6/$J$21),((AQ6/AQ$21)*($AS$6/$J$21)))</f>
        <v>0</v>
      </c>
      <c r="AN6" s="156">
        <f t="shared" si="8"/>
        <v>1.5367759372099594E-3</v>
      </c>
      <c r="AO6" s="155">
        <v>0</v>
      </c>
      <c r="AP6" s="155">
        <v>0</v>
      </c>
      <c r="AQ6" s="157">
        <f>(AO6*0.4+AP6*0.6)/J6</f>
        <v>0</v>
      </c>
      <c r="AR6" s="223">
        <f>1/C6*2</f>
        <v>1.7124074728910976E-3</v>
      </c>
      <c r="AS6" s="454">
        <v>70</v>
      </c>
      <c r="AT6" s="24">
        <f>K6+R6+Y6+AF6+AM6</f>
        <v>0.17675391321843226</v>
      </c>
      <c r="AU6" s="457">
        <f>CF$6/SUM(J6:J20)</f>
        <v>0.51376346088197877</v>
      </c>
      <c r="AV6" s="25">
        <f>L6+S6+Z6+AG6+AN6</f>
        <v>0.16285655674040575</v>
      </c>
      <c r="AW6" s="26">
        <v>0.8</v>
      </c>
      <c r="AX6" s="133">
        <v>1</v>
      </c>
      <c r="AY6" s="109">
        <f>IF(AX6=0,AW6,AW6*AX6)</f>
        <v>0.8</v>
      </c>
      <c r="AZ6" s="27">
        <f>+(AT6/$AU$6)+((AV6-AT6)/$AU$6)*0.25*AY6</f>
        <v>0.33862751084743292</v>
      </c>
      <c r="BA6" s="28">
        <f t="shared" ref="BA6:BA21" si="9">AZ6/CE6</f>
        <v>0.3669859102221984</v>
      </c>
      <c r="BB6" s="29">
        <v>0.3</v>
      </c>
      <c r="BC6" s="30">
        <v>0.4</v>
      </c>
      <c r="BD6" s="31">
        <v>0.3</v>
      </c>
      <c r="BE6" s="110">
        <f t="shared" ref="BE6:BE20" si="10">+IF(AND(BB6&gt;0,BC6&gt;0,BD6&gt;0,BB6+BC6+BD6=1),1, НЕВЕРНО)</f>
        <v>1</v>
      </c>
      <c r="BF6" s="33">
        <v>1.6</v>
      </c>
      <c r="BG6" s="460">
        <f>+SUMPRODUCT(BF6:BF20,I6:I20)/$J$21</f>
        <v>1.6</v>
      </c>
      <c r="BH6" s="34">
        <v>1</v>
      </c>
      <c r="BI6" s="458">
        <f>+SUMPRODUCT(BH6:BH20,I6:I20)/$J$21</f>
        <v>1</v>
      </c>
      <c r="BJ6" s="32">
        <f t="shared" ref="BJ6:BJ21" si="11">+(BF6+0.25*G6/I6)/($BG$6+0.25*SUM($G$6:$G$20)/SUM($I$6:$I$20)*(BH6/$BI$6))</f>
        <v>1.0658316429929617</v>
      </c>
      <c r="BK6" s="29">
        <v>17.600000000000001</v>
      </c>
      <c r="BL6" s="35">
        <v>66.900000000000006</v>
      </c>
      <c r="BM6" s="36">
        <v>6.4</v>
      </c>
      <c r="BN6" s="37">
        <v>6.4</v>
      </c>
      <c r="BO6" s="38">
        <f>+(BK6+BM6)/(BL6+BN6)</f>
        <v>0.32742155525238742</v>
      </c>
      <c r="BP6" s="39"/>
      <c r="BQ6" s="40"/>
      <c r="BR6" s="23">
        <f t="shared" ref="BR6:BR21" si="12">+H6+C6</f>
        <v>1167.9463163188334</v>
      </c>
      <c r="BS6" s="23">
        <f t="shared" ref="BS6:BS21" si="13">+(1+BP6*BQ6/BR6)/(1+BP6+SUM($BQ$6:$BQ$20)/SUM($BR$6:$BR$20))</f>
        <v>1</v>
      </c>
      <c r="BT6" s="41">
        <f>+BB6*BJ6+BC6*BS6+BD6*BO6</f>
        <v>0.81797595947360469</v>
      </c>
      <c r="BU6" s="42">
        <v>0.3</v>
      </c>
      <c r="BV6" s="43">
        <v>0.4</v>
      </c>
      <c r="BW6" s="43">
        <v>0.3</v>
      </c>
      <c r="BX6" s="44">
        <f>+IF(AND(BU6&gt;0,BV6&gt;0,BW6&gt;0,BU6+BV6+BW6=1),1, НЕВЕРНО)</f>
        <v>1</v>
      </c>
      <c r="BY6" s="45">
        <v>1</v>
      </c>
      <c r="BZ6" s="46">
        <f t="shared" ref="BZ6:BZ20" si="14">0.2*SUM($I$6:$I$20)/15/I6+0.8</f>
        <v>1.1678593733264655</v>
      </c>
      <c r="CA6" s="47">
        <f t="shared" ref="CA6:CA21" si="15">+(1+H6/I6)/(1+SUM($H$6:$H$20)/SUM($I$6:$I$20))</f>
        <v>0.68631126067602388</v>
      </c>
      <c r="CB6" s="48">
        <f>120+15+217+157</f>
        <v>509</v>
      </c>
      <c r="CC6" s="49">
        <f>+(1+CB6/BR6)/(1+SUM($CB$6:$CB$20)/SUM($BR$6:$BR$20))</f>
        <v>1.2016526823733265</v>
      </c>
      <c r="CD6" s="50">
        <f>+BU6*BZ6+BV6*CA6+BW6*CC6</f>
        <v>0.98537812098034716</v>
      </c>
      <c r="CE6" s="51">
        <f>+BT6*CD6*SUM($I$6:$I$20)/SUMPRODUCT($BT$6:$BT$20,$CD$6:$CD$20,$I$6:$I$20)</f>
        <v>0.9227261903390368</v>
      </c>
      <c r="CF6" s="463">
        <f>Q6+X6+AE6+AL6+AS6</f>
        <v>16555</v>
      </c>
      <c r="CG6" s="466">
        <v>3.1539059889109686</v>
      </c>
      <c r="CH6" s="52">
        <v>1066</v>
      </c>
      <c r="CI6" s="135">
        <f>IF(BA6&gt;$CG$6,0,($CG$6-BA6)*($CF$6/SUM($I$6:$I$20))*CE6*I6-CH6)</f>
        <v>477.06228739579569</v>
      </c>
      <c r="CJ6" s="138">
        <v>393</v>
      </c>
      <c r="CK6" s="146">
        <f>+CI6-CJ6</f>
        <v>84.062287395795693</v>
      </c>
      <c r="CL6" s="142" t="s">
        <v>77</v>
      </c>
      <c r="CM6" s="234"/>
    </row>
    <row r="7" spans="1:91" ht="15">
      <c r="A7" s="53">
        <v>2</v>
      </c>
      <c r="B7" s="197" t="s">
        <v>78</v>
      </c>
      <c r="C7" s="201">
        <v>1318.6135906462159</v>
      </c>
      <c r="D7" s="432"/>
      <c r="E7" s="432"/>
      <c r="F7" s="429"/>
      <c r="G7" s="55">
        <f t="shared" ref="G7:G20" si="16">+C7</f>
        <v>1318.6135906462159</v>
      </c>
      <c r="H7" s="115">
        <v>0</v>
      </c>
      <c r="I7" s="202">
        <f t="shared" ref="I7:I20" si="17">G7+H7</f>
        <v>1318.6135906462159</v>
      </c>
      <c r="J7" s="20">
        <f t="shared" si="0"/>
        <v>1318.6135906462159</v>
      </c>
      <c r="K7" s="215">
        <f t="shared" si="1"/>
        <v>7.7483965025290064E-2</v>
      </c>
      <c r="L7" s="209">
        <f t="shared" si="1"/>
        <v>0.13497690481717869</v>
      </c>
      <c r="M7" s="115">
        <v>95</v>
      </c>
      <c r="N7" s="115">
        <v>102</v>
      </c>
      <c r="O7" s="210">
        <f t="shared" ref="O7:O20" si="18">(M7*0.4+N7*0.6)/J7</f>
        <v>7.5230530538809945E-2</v>
      </c>
      <c r="P7" s="128">
        <f>85/C7*2</f>
        <v>0.12892328822175095</v>
      </c>
      <c r="Q7" s="449"/>
      <c r="R7" s="224">
        <f t="shared" si="2"/>
        <v>0</v>
      </c>
      <c r="S7" s="130">
        <f t="shared" si="2"/>
        <v>0</v>
      </c>
      <c r="T7" s="56"/>
      <c r="U7" s="56"/>
      <c r="V7" s="132">
        <f t="shared" si="3"/>
        <v>0</v>
      </c>
      <c r="W7" s="222">
        <v>0</v>
      </c>
      <c r="X7" s="451"/>
      <c r="Y7" s="224">
        <f t="shared" si="4"/>
        <v>1.2709273443361252E-3</v>
      </c>
      <c r="Z7" s="130">
        <f t="shared" si="4"/>
        <v>1.4427570274457063E-3</v>
      </c>
      <c r="AA7" s="56">
        <v>0</v>
      </c>
      <c r="AB7" s="56">
        <v>33</v>
      </c>
      <c r="AC7" s="130">
        <f t="shared" si="5"/>
        <v>1.5015771216415699E-2</v>
      </c>
      <c r="AD7" s="222">
        <f>2.6/J7*2</f>
        <v>3.9435358750182642E-3</v>
      </c>
      <c r="AE7" s="449"/>
      <c r="AF7" s="224">
        <f t="shared" si="6"/>
        <v>0.11206648604363768</v>
      </c>
      <c r="AG7" s="130">
        <f t="shared" si="6"/>
        <v>0.11216216166265713</v>
      </c>
      <c r="AH7" s="56">
        <v>30</v>
      </c>
      <c r="AI7" s="56">
        <v>212</v>
      </c>
      <c r="AJ7" s="57">
        <f t="shared" si="7"/>
        <v>0.10556542188510429</v>
      </c>
      <c r="AK7" s="222">
        <f>110/C7*2</f>
        <v>0.16684190240461885</v>
      </c>
      <c r="AL7" s="480"/>
      <c r="AM7" s="224">
        <f t="shared" si="8"/>
        <v>0</v>
      </c>
      <c r="AN7" s="130">
        <f t="shared" si="8"/>
        <v>0</v>
      </c>
      <c r="AO7" s="56">
        <v>0</v>
      </c>
      <c r="AP7" s="56">
        <v>0</v>
      </c>
      <c r="AQ7" s="57">
        <f t="shared" ref="AQ7:AQ21" si="19">(AO7*0.4+AP7*0.6)/J7</f>
        <v>0</v>
      </c>
      <c r="AR7" s="222">
        <v>0</v>
      </c>
      <c r="AS7" s="455"/>
      <c r="AT7" s="24">
        <f t="shared" ref="AT7:AT20" si="20">K7+R7+Y7+AF7+AM7</f>
        <v>0.19082137841326385</v>
      </c>
      <c r="AU7" s="458"/>
      <c r="AV7" s="25">
        <f t="shared" ref="AV7:AV21" si="21">L7+S7+Z7+AG7+AN7</f>
        <v>0.24858182350728153</v>
      </c>
      <c r="AW7" s="58">
        <v>0.8</v>
      </c>
      <c r="AX7" s="133">
        <v>1</v>
      </c>
      <c r="AY7" s="109">
        <f t="shared" ref="AY7:AY20" si="22">IF(AX7=0,AW7,AW7*AX7)</f>
        <v>0.8</v>
      </c>
      <c r="AZ7" s="27">
        <f t="shared" ref="AZ7:AZ21" si="23">+(AT7/$AU$6)+((AV7-AT7)/$AU$6)*0.25*AY7</f>
        <v>0.39390397106997926</v>
      </c>
      <c r="BA7" s="28">
        <f t="shared" si="9"/>
        <v>0.42082937201383075</v>
      </c>
      <c r="BB7" s="29">
        <v>0.3</v>
      </c>
      <c r="BC7" s="30">
        <v>0.4</v>
      </c>
      <c r="BD7" s="31">
        <v>0.3</v>
      </c>
      <c r="BE7" s="110">
        <f t="shared" si="10"/>
        <v>1</v>
      </c>
      <c r="BF7" s="33">
        <v>1.6</v>
      </c>
      <c r="BG7" s="460"/>
      <c r="BH7" s="59">
        <v>1</v>
      </c>
      <c r="BI7" s="458"/>
      <c r="BJ7" s="32">
        <f t="shared" si="11"/>
        <v>1.0658316429929617</v>
      </c>
      <c r="BK7" s="60">
        <v>19.190000000000001</v>
      </c>
      <c r="BL7" s="60">
        <v>66.900000000000006</v>
      </c>
      <c r="BM7" s="36">
        <v>6.4</v>
      </c>
      <c r="BN7" s="36">
        <v>6.4</v>
      </c>
      <c r="BO7" s="38">
        <f t="shared" ref="BO7:BO21" si="24">+(BK7+BM7)/(BL7+BN7)</f>
        <v>0.34911323328785809</v>
      </c>
      <c r="BP7" s="61"/>
      <c r="BQ7" s="62"/>
      <c r="BR7" s="23">
        <f t="shared" si="12"/>
        <v>1318.6135906462159</v>
      </c>
      <c r="BS7" s="23">
        <f t="shared" si="13"/>
        <v>1</v>
      </c>
      <c r="BT7" s="63">
        <f t="shared" ref="BT7:BT20" si="25">+BB7*BJ7+BC7*BS7+BD7*BO7</f>
        <v>0.8244834628842459</v>
      </c>
      <c r="BU7" s="42">
        <v>0.3</v>
      </c>
      <c r="BV7" s="43">
        <v>0.4</v>
      </c>
      <c r="BW7" s="43">
        <v>0.3</v>
      </c>
      <c r="BX7" s="64">
        <f t="shared" ref="BX7:BX20" si="26">+IF(AND(BU7&gt;0,BV7&gt;0,BW7&gt;0,BU7+BV7+BW7=1),1, НЕВЕРНО)</f>
        <v>1</v>
      </c>
      <c r="BY7" s="65">
        <v>1</v>
      </c>
      <c r="BZ7" s="46">
        <f t="shared" si="14"/>
        <v>1.1258270679505475</v>
      </c>
      <c r="CA7" s="47">
        <f t="shared" si="15"/>
        <v>0.68631126067602388</v>
      </c>
      <c r="CB7" s="66">
        <f>50+218+231+5+170</f>
        <v>674</v>
      </c>
      <c r="CC7" s="49">
        <f>+(1+CB7/BR7)/(1+SUM($CB$6:$CB$20)/SUM($BR$6:$BR$20))</f>
        <v>1.2647020488520122</v>
      </c>
      <c r="CD7" s="67">
        <f t="shared" ref="CD7:CD21" si="27">+BU7*BZ7+BV7*CA7+BW7*CC7</f>
        <v>0.99168323931117752</v>
      </c>
      <c r="CE7" s="51">
        <f t="shared" ref="CE7:CE21" si="28">+BT7*CD7*SUM($I$6:$I$20)/SUMPRODUCT($BT$6:$BT$20,$CD$6:$CD$20,$I$6:$I$20)</f>
        <v>0.93601824697976033</v>
      </c>
      <c r="CF7" s="464"/>
      <c r="CG7" s="467"/>
      <c r="CH7" s="52">
        <v>1228</v>
      </c>
      <c r="CI7" s="135">
        <f t="shared" ref="CI7:CI20" si="29">IF(BA7&gt;$CG$6,0,($CG$6-BA7)*($CF$6/SUM($I$6:$I$20))*CE7*I7-CH7)</f>
        <v>505.07310639164075</v>
      </c>
      <c r="CJ7" s="139">
        <v>465</v>
      </c>
      <c r="CK7" s="147">
        <f t="shared" ref="CK7:CK20" si="30">+CI7-CJ7</f>
        <v>40.073106391640749</v>
      </c>
      <c r="CL7" s="143" t="s">
        <v>78</v>
      </c>
      <c r="CM7" s="234"/>
    </row>
    <row r="8" spans="1:91" ht="15">
      <c r="A8" s="53">
        <v>3</v>
      </c>
      <c r="B8" s="197" t="s">
        <v>79</v>
      </c>
      <c r="C8" s="201">
        <v>1356.0054689464421</v>
      </c>
      <c r="D8" s="432"/>
      <c r="E8" s="432"/>
      <c r="F8" s="429"/>
      <c r="G8" s="55">
        <f t="shared" si="16"/>
        <v>1356.0054689464421</v>
      </c>
      <c r="H8" s="115">
        <v>0</v>
      </c>
      <c r="I8" s="202">
        <f t="shared" si="17"/>
        <v>1356.0054689464421</v>
      </c>
      <c r="J8" s="20">
        <f t="shared" si="0"/>
        <v>1356.0054689464421</v>
      </c>
      <c r="K8" s="215">
        <f t="shared" si="1"/>
        <v>0.24092920602059295</v>
      </c>
      <c r="L8" s="209">
        <f t="shared" si="1"/>
        <v>0.21927291503614532</v>
      </c>
      <c r="M8" s="115">
        <v>346</v>
      </c>
      <c r="N8" s="115">
        <v>298</v>
      </c>
      <c r="O8" s="210">
        <f t="shared" si="18"/>
        <v>0.23392236039169573</v>
      </c>
      <c r="P8" s="128">
        <f>142/C8*2</f>
        <v>0.20943868332673893</v>
      </c>
      <c r="Q8" s="449"/>
      <c r="R8" s="224">
        <f t="shared" si="2"/>
        <v>0</v>
      </c>
      <c r="S8" s="130">
        <f t="shared" si="2"/>
        <v>0</v>
      </c>
      <c r="T8" s="56"/>
      <c r="U8" s="56"/>
      <c r="V8" s="132">
        <f t="shared" si="3"/>
        <v>0</v>
      </c>
      <c r="W8" s="222">
        <v>0</v>
      </c>
      <c r="X8" s="451"/>
      <c r="Y8" s="224">
        <f t="shared" si="4"/>
        <v>2.5092139485500733E-3</v>
      </c>
      <c r="Z8" s="130">
        <f t="shared" si="4"/>
        <v>1.1871309772900009E-3</v>
      </c>
      <c r="AA8" s="56">
        <v>54</v>
      </c>
      <c r="AB8" s="56">
        <v>31</v>
      </c>
      <c r="AC8" s="130">
        <f t="shared" si="5"/>
        <v>2.9645898132869386E-2</v>
      </c>
      <c r="AD8" s="222">
        <f>2.2/J8*2</f>
        <v>3.2448246712593358E-3</v>
      </c>
      <c r="AE8" s="449"/>
      <c r="AF8" s="224">
        <f t="shared" si="6"/>
        <v>0.11022885099827823</v>
      </c>
      <c r="AG8" s="130">
        <f t="shared" si="6"/>
        <v>0.19136702310602746</v>
      </c>
      <c r="AH8" s="56">
        <v>184</v>
      </c>
      <c r="AI8" s="56">
        <v>112</v>
      </c>
      <c r="AJ8" s="57">
        <f t="shared" si="7"/>
        <v>0.10383438948029874</v>
      </c>
      <c r="AK8" s="222">
        <f>193/C8*2</f>
        <v>0.28465961888775082</v>
      </c>
      <c r="AL8" s="480"/>
      <c r="AM8" s="224">
        <f t="shared" si="8"/>
        <v>0</v>
      </c>
      <c r="AN8" s="130">
        <f t="shared" si="8"/>
        <v>0</v>
      </c>
      <c r="AO8" s="56">
        <v>0</v>
      </c>
      <c r="AP8" s="56">
        <v>0</v>
      </c>
      <c r="AQ8" s="57">
        <f t="shared" si="19"/>
        <v>0</v>
      </c>
      <c r="AR8" s="222">
        <v>0</v>
      </c>
      <c r="AS8" s="455"/>
      <c r="AT8" s="24">
        <f t="shared" si="20"/>
        <v>0.35366727096742123</v>
      </c>
      <c r="AU8" s="458"/>
      <c r="AV8" s="25">
        <f t="shared" si="21"/>
        <v>0.41182706911946276</v>
      </c>
      <c r="AW8" s="58">
        <v>0.8</v>
      </c>
      <c r="AX8" s="133">
        <v>1</v>
      </c>
      <c r="AY8" s="109">
        <f t="shared" si="22"/>
        <v>0.8</v>
      </c>
      <c r="AZ8" s="27">
        <f t="shared" si="23"/>
        <v>0.71102610133215705</v>
      </c>
      <c r="BA8" s="28">
        <f t="shared" si="9"/>
        <v>0.80829898209633555</v>
      </c>
      <c r="BB8" s="29">
        <v>0.3</v>
      </c>
      <c r="BC8" s="30">
        <v>0.4</v>
      </c>
      <c r="BD8" s="31">
        <v>0.3</v>
      </c>
      <c r="BE8" s="110">
        <f t="shared" si="10"/>
        <v>1</v>
      </c>
      <c r="BF8" s="33">
        <v>1.6</v>
      </c>
      <c r="BG8" s="460"/>
      <c r="BH8" s="59">
        <v>1</v>
      </c>
      <c r="BI8" s="458"/>
      <c r="BJ8" s="32">
        <f t="shared" si="11"/>
        <v>1.0658316429929617</v>
      </c>
      <c r="BK8" s="60">
        <v>19.920000000000002</v>
      </c>
      <c r="BL8" s="60">
        <v>66.900000000000006</v>
      </c>
      <c r="BM8" s="36">
        <v>6.4</v>
      </c>
      <c r="BN8" s="36">
        <v>6.4</v>
      </c>
      <c r="BO8" s="38">
        <f t="shared" si="24"/>
        <v>0.35907230559345149</v>
      </c>
      <c r="BP8" s="61"/>
      <c r="BQ8" s="62"/>
      <c r="BR8" s="23">
        <f t="shared" si="12"/>
        <v>1356.0054689464421</v>
      </c>
      <c r="BS8" s="23">
        <f t="shared" si="13"/>
        <v>1</v>
      </c>
      <c r="BT8" s="63">
        <f t="shared" si="25"/>
        <v>0.82747118457592395</v>
      </c>
      <c r="BU8" s="42">
        <v>0.3</v>
      </c>
      <c r="BV8" s="43">
        <v>0.4</v>
      </c>
      <c r="BW8" s="43">
        <v>0.3</v>
      </c>
      <c r="BX8" s="64">
        <f t="shared" si="26"/>
        <v>1</v>
      </c>
      <c r="BY8" s="65">
        <v>1</v>
      </c>
      <c r="BZ8" s="46">
        <f t="shared" si="14"/>
        <v>1.1168423799454228</v>
      </c>
      <c r="CA8" s="47">
        <f t="shared" si="15"/>
        <v>0.68631126067602388</v>
      </c>
      <c r="CB8" s="66">
        <f>365+2</f>
        <v>367</v>
      </c>
      <c r="CC8" s="49">
        <f t="shared" ref="CC8:CC20" si="31">+(1+CB8/BR8)/(1+SUM($CB$6:$CB$20)/SUM($BR$6:$BR$20))</f>
        <v>1.0634275234532689</v>
      </c>
      <c r="CD8" s="67">
        <f t="shared" si="27"/>
        <v>0.92860547529001702</v>
      </c>
      <c r="CE8" s="51">
        <f t="shared" si="28"/>
        <v>0.87965730142094223</v>
      </c>
      <c r="CF8" s="464"/>
      <c r="CG8" s="467"/>
      <c r="CH8" s="52">
        <v>956</v>
      </c>
      <c r="CI8" s="135">
        <f t="shared" si="29"/>
        <v>481.45221691894039</v>
      </c>
      <c r="CJ8" s="139">
        <v>415</v>
      </c>
      <c r="CK8" s="147">
        <f t="shared" si="30"/>
        <v>66.452216918940394</v>
      </c>
      <c r="CL8" s="143" t="s">
        <v>79</v>
      </c>
      <c r="CM8" s="234"/>
    </row>
    <row r="9" spans="1:91" ht="15">
      <c r="A9" s="53">
        <v>4</v>
      </c>
      <c r="B9" s="197" t="s">
        <v>80</v>
      </c>
      <c r="C9" s="201">
        <v>1185.5424943424694</v>
      </c>
      <c r="D9" s="432"/>
      <c r="E9" s="432"/>
      <c r="F9" s="429"/>
      <c r="G9" s="55">
        <f t="shared" si="16"/>
        <v>1185.5424943424694</v>
      </c>
      <c r="H9" s="115">
        <v>0</v>
      </c>
      <c r="I9" s="202">
        <f t="shared" si="17"/>
        <v>1185.5424943424694</v>
      </c>
      <c r="J9" s="20">
        <f t="shared" si="0"/>
        <v>1185.5424943424694</v>
      </c>
      <c r="K9" s="215">
        <f t="shared" si="1"/>
        <v>0.46617744239119091</v>
      </c>
      <c r="L9" s="209">
        <f t="shared" si="1"/>
        <v>0.47157657393689695</v>
      </c>
      <c r="M9" s="115">
        <v>605</v>
      </c>
      <c r="N9" s="115">
        <v>491</v>
      </c>
      <c r="O9" s="210">
        <f t="shared" si="18"/>
        <v>0.45261979436478261</v>
      </c>
      <c r="P9" s="128">
        <f>267/C9*2</f>
        <v>0.45042670553632863</v>
      </c>
      <c r="Q9" s="449"/>
      <c r="R9" s="224">
        <f t="shared" si="2"/>
        <v>0</v>
      </c>
      <c r="S9" s="130">
        <f t="shared" si="2"/>
        <v>0</v>
      </c>
      <c r="T9" s="56"/>
      <c r="U9" s="56"/>
      <c r="V9" s="132">
        <f t="shared" si="3"/>
        <v>0</v>
      </c>
      <c r="W9" s="222">
        <v>0</v>
      </c>
      <c r="X9" s="451"/>
      <c r="Y9" s="224">
        <f t="shared" si="4"/>
        <v>6.853733112313549E-4</v>
      </c>
      <c r="Z9" s="130">
        <f t="shared" si="4"/>
        <v>1.1726647581789865E-3</v>
      </c>
      <c r="AA9" s="56">
        <v>15</v>
      </c>
      <c r="AB9" s="56">
        <v>6</v>
      </c>
      <c r="AC9" s="130">
        <f t="shared" si="5"/>
        <v>8.0975587512148971E-3</v>
      </c>
      <c r="AD9" s="222">
        <f>1.9/J9*2</f>
        <v>3.2052836723558964E-3</v>
      </c>
      <c r="AE9" s="449"/>
      <c r="AF9" s="224">
        <f t="shared" si="6"/>
        <v>7.3784332559929652E-2</v>
      </c>
      <c r="AG9" s="130">
        <f t="shared" si="6"/>
        <v>8.2789825635413997E-2</v>
      </c>
      <c r="AH9" s="56">
        <v>5</v>
      </c>
      <c r="AI9" s="56">
        <v>134</v>
      </c>
      <c r="AJ9" s="57">
        <f t="shared" si="7"/>
        <v>6.9504045947927862E-2</v>
      </c>
      <c r="AK9" s="222">
        <f>73/C9*2</f>
        <v>0.12315037267472656</v>
      </c>
      <c r="AL9" s="480"/>
      <c r="AM9" s="224">
        <f t="shared" si="8"/>
        <v>0</v>
      </c>
      <c r="AN9" s="130">
        <f t="shared" si="8"/>
        <v>9.0837998811705567E-3</v>
      </c>
      <c r="AO9" s="56">
        <v>0</v>
      </c>
      <c r="AP9" s="56">
        <v>0</v>
      </c>
      <c r="AQ9" s="57">
        <f t="shared" si="19"/>
        <v>0</v>
      </c>
      <c r="AR9" s="222">
        <f>6/C9*2</f>
        <v>1.012194843901862E-2</v>
      </c>
      <c r="AS9" s="455"/>
      <c r="AT9" s="24">
        <f t="shared" si="20"/>
        <v>0.54064714826235194</v>
      </c>
      <c r="AU9" s="458"/>
      <c r="AV9" s="25">
        <f t="shared" si="21"/>
        <v>0.56462286421166052</v>
      </c>
      <c r="AW9" s="58">
        <v>0.8</v>
      </c>
      <c r="AX9" s="133">
        <v>1</v>
      </c>
      <c r="AY9" s="109">
        <f t="shared" si="22"/>
        <v>0.8</v>
      </c>
      <c r="AZ9" s="27">
        <f t="shared" si="23"/>
        <v>1.0616603417375221</v>
      </c>
      <c r="BA9" s="28">
        <f t="shared" si="9"/>
        <v>1.2099191409862939</v>
      </c>
      <c r="BB9" s="29">
        <v>0.3</v>
      </c>
      <c r="BC9" s="30">
        <v>0.4</v>
      </c>
      <c r="BD9" s="31">
        <v>0.3</v>
      </c>
      <c r="BE9" s="110">
        <f t="shared" si="10"/>
        <v>1</v>
      </c>
      <c r="BF9" s="33">
        <v>1.6</v>
      </c>
      <c r="BG9" s="460"/>
      <c r="BH9" s="59">
        <v>1</v>
      </c>
      <c r="BI9" s="458"/>
      <c r="BJ9" s="32">
        <f t="shared" si="11"/>
        <v>1.0658316429929617</v>
      </c>
      <c r="BK9" s="60">
        <v>25.35</v>
      </c>
      <c r="BL9" s="60">
        <v>66.900000000000006</v>
      </c>
      <c r="BM9" s="36">
        <v>6.4</v>
      </c>
      <c r="BN9" s="36">
        <v>6.4</v>
      </c>
      <c r="BO9" s="38">
        <f t="shared" si="24"/>
        <v>0.43315143246930415</v>
      </c>
      <c r="BP9" s="61"/>
      <c r="BQ9" s="62"/>
      <c r="BR9" s="23">
        <f t="shared" si="12"/>
        <v>1185.5424943424694</v>
      </c>
      <c r="BS9" s="23">
        <f t="shared" si="13"/>
        <v>1</v>
      </c>
      <c r="BT9" s="63">
        <f t="shared" si="25"/>
        <v>0.84969492263867974</v>
      </c>
      <c r="BU9" s="42">
        <v>0.3</v>
      </c>
      <c r="BV9" s="43">
        <v>0.4</v>
      </c>
      <c r="BW9" s="43">
        <v>0.3</v>
      </c>
      <c r="BX9" s="64">
        <f t="shared" si="26"/>
        <v>1</v>
      </c>
      <c r="BY9" s="65">
        <v>1</v>
      </c>
      <c r="BZ9" s="46">
        <f t="shared" si="14"/>
        <v>1.1623994939449966</v>
      </c>
      <c r="CA9" s="47">
        <f t="shared" si="15"/>
        <v>0.68631126067602388</v>
      </c>
      <c r="CB9" s="66">
        <f>26+105</f>
        <v>131</v>
      </c>
      <c r="CC9" s="49">
        <f t="shared" si="31"/>
        <v>0.9293952269494985</v>
      </c>
      <c r="CD9" s="67">
        <f t="shared" si="27"/>
        <v>0.90206292053875825</v>
      </c>
      <c r="CE9" s="51">
        <f t="shared" si="28"/>
        <v>0.87746387818287164</v>
      </c>
      <c r="CF9" s="464"/>
      <c r="CG9" s="467"/>
      <c r="CH9" s="52">
        <v>611</v>
      </c>
      <c r="CI9" s="135">
        <f t="shared" si="29"/>
        <v>427.96976361809743</v>
      </c>
      <c r="CJ9" s="139">
        <v>302</v>
      </c>
      <c r="CK9" s="147">
        <f t="shared" si="30"/>
        <v>125.96976361809743</v>
      </c>
      <c r="CL9" s="143" t="s">
        <v>80</v>
      </c>
      <c r="CM9" s="234"/>
    </row>
    <row r="10" spans="1:91" ht="15">
      <c r="A10" s="53">
        <v>5</v>
      </c>
      <c r="B10" s="197" t="s">
        <v>81</v>
      </c>
      <c r="C10" s="201">
        <v>9.8978501382951976</v>
      </c>
      <c r="D10" s="432"/>
      <c r="E10" s="432"/>
      <c r="F10" s="429"/>
      <c r="G10" s="55">
        <f t="shared" si="16"/>
        <v>9.8978501382951976</v>
      </c>
      <c r="H10" s="115">
        <v>10298</v>
      </c>
      <c r="I10" s="202">
        <f t="shared" si="17"/>
        <v>10307.897850138295</v>
      </c>
      <c r="J10" s="20">
        <f t="shared" si="0"/>
        <v>10307.897850138295</v>
      </c>
      <c r="K10" s="215">
        <f t="shared" si="1"/>
        <v>0.61641962322703536</v>
      </c>
      <c r="L10" s="209">
        <f t="shared" si="1"/>
        <v>0.6191600740079275</v>
      </c>
      <c r="M10" s="115">
        <v>6339</v>
      </c>
      <c r="N10" s="115">
        <v>6056</v>
      </c>
      <c r="O10" s="210">
        <f t="shared" si="18"/>
        <v>0.5984925432606254</v>
      </c>
      <c r="P10" s="128">
        <f>3048/J10*2</f>
        <v>0.5913911923291143</v>
      </c>
      <c r="Q10" s="449"/>
      <c r="R10" s="224">
        <f t="shared" si="2"/>
        <v>0</v>
      </c>
      <c r="S10" s="130">
        <f t="shared" si="2"/>
        <v>0</v>
      </c>
      <c r="T10" s="56"/>
      <c r="U10" s="56"/>
      <c r="V10" s="132">
        <f t="shared" si="3"/>
        <v>0</v>
      </c>
      <c r="W10" s="222">
        <v>0</v>
      </c>
      <c r="X10" s="451"/>
      <c r="Y10" s="224">
        <f t="shared" si="4"/>
        <v>1.1835524062659929E-2</v>
      </c>
      <c r="Z10" s="130">
        <f t="shared" si="4"/>
        <v>1.1229845235556207E-2</v>
      </c>
      <c r="AA10" s="56">
        <v>221</v>
      </c>
      <c r="AB10" s="56">
        <v>2255</v>
      </c>
      <c r="AC10" s="130">
        <f t="shared" si="5"/>
        <v>0.13983452503661176</v>
      </c>
      <c r="AD10" s="222">
        <f>158.2/J10*2</f>
        <v>3.0694910310520299E-2</v>
      </c>
      <c r="AE10" s="449"/>
      <c r="AF10" s="224">
        <f t="shared" si="6"/>
        <v>0.21823023350183832</v>
      </c>
      <c r="AG10" s="130">
        <f t="shared" si="6"/>
        <v>0.2109167870365542</v>
      </c>
      <c r="AH10" s="56">
        <v>1930</v>
      </c>
      <c r="AI10" s="56">
        <v>2245</v>
      </c>
      <c r="AJ10" s="57">
        <f t="shared" si="7"/>
        <v>0.20557052764852249</v>
      </c>
      <c r="AK10" s="222">
        <f>1617/J10*2</f>
        <v>0.31374001246593758</v>
      </c>
      <c r="AL10" s="480"/>
      <c r="AM10" s="224">
        <f t="shared" si="8"/>
        <v>0</v>
      </c>
      <c r="AN10" s="130">
        <f t="shared" si="8"/>
        <v>0</v>
      </c>
      <c r="AO10" s="56">
        <v>0</v>
      </c>
      <c r="AP10" s="56">
        <v>0</v>
      </c>
      <c r="AQ10" s="57">
        <f t="shared" si="19"/>
        <v>0</v>
      </c>
      <c r="AR10" s="222">
        <v>0</v>
      </c>
      <c r="AS10" s="455"/>
      <c r="AT10" s="24">
        <f t="shared" si="20"/>
        <v>0.84648538079153368</v>
      </c>
      <c r="AU10" s="458"/>
      <c r="AV10" s="25">
        <f t="shared" si="21"/>
        <v>0.8413067062800379</v>
      </c>
      <c r="AW10" s="58">
        <v>1</v>
      </c>
      <c r="AX10" s="133">
        <v>1</v>
      </c>
      <c r="AY10" s="109">
        <f t="shared" si="22"/>
        <v>1</v>
      </c>
      <c r="AZ10" s="27">
        <f t="shared" si="23"/>
        <v>1.6450969687737604</v>
      </c>
      <c r="BA10" s="28">
        <f t="shared" si="9"/>
        <v>1.4468891407147846</v>
      </c>
      <c r="BB10" s="29">
        <v>0.3</v>
      </c>
      <c r="BC10" s="30">
        <v>0.4</v>
      </c>
      <c r="BD10" s="31">
        <v>0.3</v>
      </c>
      <c r="BE10" s="110">
        <f t="shared" si="10"/>
        <v>1</v>
      </c>
      <c r="BF10" s="33">
        <v>1.6</v>
      </c>
      <c r="BG10" s="460"/>
      <c r="BH10" s="59">
        <v>1</v>
      </c>
      <c r="BI10" s="458"/>
      <c r="BJ10" s="32">
        <f t="shared" si="11"/>
        <v>0.92193864163016659</v>
      </c>
      <c r="BK10" s="60">
        <v>58.8</v>
      </c>
      <c r="BL10" s="60">
        <v>66.900000000000006</v>
      </c>
      <c r="BM10" s="36">
        <v>6.4</v>
      </c>
      <c r="BN10" s="36">
        <v>6.4</v>
      </c>
      <c r="BO10" s="38">
        <f t="shared" si="24"/>
        <v>0.88949522510231915</v>
      </c>
      <c r="BP10" s="61"/>
      <c r="BQ10" s="62"/>
      <c r="BR10" s="23">
        <f t="shared" si="12"/>
        <v>10307.897850138295</v>
      </c>
      <c r="BS10" s="23">
        <f t="shared" si="13"/>
        <v>1</v>
      </c>
      <c r="BT10" s="63">
        <f t="shared" si="25"/>
        <v>0.94343016001974567</v>
      </c>
      <c r="BU10" s="42">
        <v>0.3</v>
      </c>
      <c r="BV10" s="43">
        <v>0.4</v>
      </c>
      <c r="BW10" s="43">
        <v>0.3</v>
      </c>
      <c r="BX10" s="64">
        <f t="shared" si="26"/>
        <v>1</v>
      </c>
      <c r="BY10" s="65">
        <v>1</v>
      </c>
      <c r="BZ10" s="46">
        <f t="shared" si="14"/>
        <v>0.84168066139637154</v>
      </c>
      <c r="CA10" s="47">
        <f t="shared" si="15"/>
        <v>1.3719635115223856</v>
      </c>
      <c r="CB10" s="66">
        <v>15</v>
      </c>
      <c r="CC10" s="49">
        <f t="shared" si="31"/>
        <v>0.83813544086205694</v>
      </c>
      <c r="CD10" s="67">
        <f t="shared" si="27"/>
        <v>1.0527302352864829</v>
      </c>
      <c r="CE10" s="51">
        <f t="shared" si="28"/>
        <v>1.1369889526996231</v>
      </c>
      <c r="CF10" s="464"/>
      <c r="CG10" s="467"/>
      <c r="CH10" s="52">
        <v>7962</v>
      </c>
      <c r="CI10" s="135">
        <f t="shared" si="29"/>
        <v>2316.4439624999868</v>
      </c>
      <c r="CJ10" s="139">
        <v>2884</v>
      </c>
      <c r="CK10" s="147">
        <f t="shared" si="30"/>
        <v>-567.55603750001319</v>
      </c>
      <c r="CL10" s="143" t="s">
        <v>81</v>
      </c>
      <c r="CM10" s="234"/>
    </row>
    <row r="11" spans="1:91" ht="15">
      <c r="A11" s="53">
        <v>6</v>
      </c>
      <c r="B11" s="197" t="s">
        <v>82</v>
      </c>
      <c r="C11" s="201">
        <v>2159.9308524013077</v>
      </c>
      <c r="D11" s="432"/>
      <c r="E11" s="432"/>
      <c r="F11" s="429"/>
      <c r="G11" s="55">
        <f t="shared" si="16"/>
        <v>2159.9308524013077</v>
      </c>
      <c r="H11" s="115">
        <v>0</v>
      </c>
      <c r="I11" s="202">
        <f t="shared" si="17"/>
        <v>2159.9308524013077</v>
      </c>
      <c r="J11" s="20">
        <f t="shared" si="0"/>
        <v>2159.9308524013077</v>
      </c>
      <c r="K11" s="215">
        <f t="shared" si="1"/>
        <v>0.12903444440491527</v>
      </c>
      <c r="L11" s="209">
        <f t="shared" si="1"/>
        <v>0.12020981370911021</v>
      </c>
      <c r="M11" s="115">
        <v>282</v>
      </c>
      <c r="N11" s="115">
        <v>263</v>
      </c>
      <c r="O11" s="210">
        <f t="shared" si="18"/>
        <v>0.12528178839575346</v>
      </c>
      <c r="P11" s="128">
        <f>124/C11*2</f>
        <v>0.11481849047356561</v>
      </c>
      <c r="Q11" s="449"/>
      <c r="R11" s="224">
        <f t="shared" si="2"/>
        <v>0</v>
      </c>
      <c r="S11" s="130">
        <f t="shared" si="2"/>
        <v>0</v>
      </c>
      <c r="T11" s="56"/>
      <c r="U11" s="56"/>
      <c r="V11" s="132">
        <f t="shared" si="3"/>
        <v>0</v>
      </c>
      <c r="W11" s="222">
        <v>0</v>
      </c>
      <c r="X11" s="451"/>
      <c r="Y11" s="224">
        <f t="shared" si="4"/>
        <v>1.8260772665820641E-3</v>
      </c>
      <c r="Z11" s="130">
        <f t="shared" si="4"/>
        <v>3.0150016676280512E-3</v>
      </c>
      <c r="AA11" s="56">
        <v>40</v>
      </c>
      <c r="AB11" s="56">
        <v>51</v>
      </c>
      <c r="AC11" s="130">
        <f t="shared" si="5"/>
        <v>2.157476474221031E-2</v>
      </c>
      <c r="AD11" s="222">
        <f>8.9/J11*2</f>
        <v>8.2410045581833395E-3</v>
      </c>
      <c r="AE11" s="449"/>
      <c r="AF11" s="224">
        <f t="shared" si="6"/>
        <v>7.2838739643938832E-2</v>
      </c>
      <c r="AG11" s="130">
        <f t="shared" si="6"/>
        <v>4.6686643156426795E-2</v>
      </c>
      <c r="AH11" s="56">
        <v>111</v>
      </c>
      <c r="AI11" s="56">
        <v>173</v>
      </c>
      <c r="AJ11" s="57">
        <f t="shared" si="7"/>
        <v>6.8613307613638805E-2</v>
      </c>
      <c r="AK11" s="222">
        <f>75/C11*2</f>
        <v>6.9446667625140499E-2</v>
      </c>
      <c r="AL11" s="480"/>
      <c r="AM11" s="224">
        <f t="shared" si="8"/>
        <v>0</v>
      </c>
      <c r="AN11" s="130">
        <f t="shared" si="8"/>
        <v>0</v>
      </c>
      <c r="AO11" s="56">
        <v>0</v>
      </c>
      <c r="AP11" s="56">
        <v>0</v>
      </c>
      <c r="AQ11" s="57">
        <f t="shared" si="19"/>
        <v>0</v>
      </c>
      <c r="AR11" s="222">
        <v>0</v>
      </c>
      <c r="AS11" s="455"/>
      <c r="AT11" s="24">
        <f t="shared" si="20"/>
        <v>0.20369926131543617</v>
      </c>
      <c r="AU11" s="458"/>
      <c r="AV11" s="25">
        <f t="shared" si="21"/>
        <v>0.16991145853316506</v>
      </c>
      <c r="AW11" s="58">
        <v>0.8</v>
      </c>
      <c r="AX11" s="133">
        <v>1</v>
      </c>
      <c r="AY11" s="109">
        <f t="shared" si="22"/>
        <v>0.8</v>
      </c>
      <c r="AZ11" s="27">
        <f t="shared" si="23"/>
        <v>0.38333146623718967</v>
      </c>
      <c r="BA11" s="28">
        <f t="shared" si="9"/>
        <v>0.44907717905878219</v>
      </c>
      <c r="BB11" s="29">
        <v>0.3</v>
      </c>
      <c r="BC11" s="30">
        <v>0.4</v>
      </c>
      <c r="BD11" s="31">
        <v>0.3</v>
      </c>
      <c r="BE11" s="110">
        <f t="shared" si="10"/>
        <v>1</v>
      </c>
      <c r="BF11" s="33">
        <v>1.6</v>
      </c>
      <c r="BG11" s="460"/>
      <c r="BH11" s="59">
        <v>1</v>
      </c>
      <c r="BI11" s="458"/>
      <c r="BJ11" s="32">
        <f t="shared" si="11"/>
        <v>1.0658316429929617</v>
      </c>
      <c r="BK11" s="60">
        <v>18.399999999999999</v>
      </c>
      <c r="BL11" s="60">
        <v>66.900000000000006</v>
      </c>
      <c r="BM11" s="36">
        <v>6.4</v>
      </c>
      <c r="BN11" s="36">
        <v>6.4</v>
      </c>
      <c r="BO11" s="38">
        <f t="shared" si="24"/>
        <v>0.33833560709413363</v>
      </c>
      <c r="BP11" s="61"/>
      <c r="BQ11" s="62"/>
      <c r="BR11" s="23">
        <f t="shared" si="12"/>
        <v>2159.9308524013077</v>
      </c>
      <c r="BS11" s="23">
        <f t="shared" si="13"/>
        <v>1</v>
      </c>
      <c r="BT11" s="63">
        <f t="shared" si="25"/>
        <v>0.82125017502612851</v>
      </c>
      <c r="BU11" s="42">
        <v>0.3</v>
      </c>
      <c r="BV11" s="43">
        <v>0.4</v>
      </c>
      <c r="BW11" s="43">
        <v>0.3</v>
      </c>
      <c r="BX11" s="64">
        <f t="shared" si="26"/>
        <v>1</v>
      </c>
      <c r="BY11" s="65">
        <v>1</v>
      </c>
      <c r="BZ11" s="46">
        <f t="shared" si="14"/>
        <v>0.99891377518976909</v>
      </c>
      <c r="CA11" s="47">
        <f t="shared" si="15"/>
        <v>0.68631126067602388</v>
      </c>
      <c r="CB11" s="66">
        <f>164+182+285+56+24</f>
        <v>711</v>
      </c>
      <c r="CC11" s="49">
        <f t="shared" si="31"/>
        <v>1.1124117464545851</v>
      </c>
      <c r="CD11" s="67">
        <f t="shared" si="27"/>
        <v>0.90792216076371579</v>
      </c>
      <c r="CE11" s="51">
        <f t="shared" si="28"/>
        <v>0.85359818782288488</v>
      </c>
      <c r="CF11" s="464"/>
      <c r="CG11" s="467"/>
      <c r="CH11" s="52">
        <v>1843</v>
      </c>
      <c r="CI11" s="135">
        <f t="shared" si="29"/>
        <v>719.10149411157818</v>
      </c>
      <c r="CJ11" s="139">
        <v>736</v>
      </c>
      <c r="CK11" s="147">
        <f t="shared" si="30"/>
        <v>-16.898505888421823</v>
      </c>
      <c r="CL11" s="143" t="s">
        <v>82</v>
      </c>
      <c r="CM11" s="234"/>
    </row>
    <row r="12" spans="1:91" ht="15">
      <c r="A12" s="53">
        <v>7</v>
      </c>
      <c r="B12" s="197" t="s">
        <v>83</v>
      </c>
      <c r="C12" s="201">
        <v>1408.79400301735</v>
      </c>
      <c r="D12" s="432"/>
      <c r="E12" s="432"/>
      <c r="F12" s="429"/>
      <c r="G12" s="55">
        <f t="shared" si="16"/>
        <v>1408.79400301735</v>
      </c>
      <c r="H12" s="115">
        <v>0</v>
      </c>
      <c r="I12" s="202">
        <f t="shared" si="17"/>
        <v>1408.79400301735</v>
      </c>
      <c r="J12" s="20">
        <f t="shared" si="0"/>
        <v>1408.79400301735</v>
      </c>
      <c r="K12" s="215">
        <f t="shared" si="1"/>
        <v>0.13364305937854917</v>
      </c>
      <c r="L12" s="209">
        <f t="shared" si="1"/>
        <v>0.13525458150982733</v>
      </c>
      <c r="M12" s="115">
        <v>178</v>
      </c>
      <c r="N12" s="115">
        <v>186</v>
      </c>
      <c r="O12" s="210">
        <f t="shared" si="18"/>
        <v>0.12975637290368899</v>
      </c>
      <c r="P12" s="128">
        <f>91/C12*2</f>
        <v>0.12918851131548903</v>
      </c>
      <c r="Q12" s="449"/>
      <c r="R12" s="224">
        <f t="shared" si="2"/>
        <v>0</v>
      </c>
      <c r="S12" s="130">
        <f t="shared" si="2"/>
        <v>0</v>
      </c>
      <c r="T12" s="56"/>
      <c r="U12" s="56"/>
      <c r="V12" s="132">
        <f t="shared" si="3"/>
        <v>0</v>
      </c>
      <c r="W12" s="222">
        <v>0</v>
      </c>
      <c r="X12" s="451"/>
      <c r="Y12" s="224">
        <f t="shared" si="4"/>
        <v>8.7715924008001963E-4</v>
      </c>
      <c r="Z12" s="130">
        <f t="shared" si="4"/>
        <v>7.2713983854871876E-4</v>
      </c>
      <c r="AA12" s="56">
        <v>17</v>
      </c>
      <c r="AB12" s="56">
        <v>13</v>
      </c>
      <c r="AC12" s="130">
        <f t="shared" si="5"/>
        <v>1.0363473984649121E-2</v>
      </c>
      <c r="AD12" s="222">
        <f>1.4/J12*2</f>
        <v>1.9875155586998312E-3</v>
      </c>
      <c r="AE12" s="449"/>
      <c r="AF12" s="224">
        <f t="shared" si="6"/>
        <v>8.6958568393684404E-2</v>
      </c>
      <c r="AG12" s="130">
        <f t="shared" si="6"/>
        <v>0.10307361179491022</v>
      </c>
      <c r="AH12" s="56">
        <v>62</v>
      </c>
      <c r="AI12" s="56">
        <v>151</v>
      </c>
      <c r="AJ12" s="57">
        <f t="shared" si="7"/>
        <v>8.1914034097843036E-2</v>
      </c>
      <c r="AK12" s="222">
        <f>108/C12*2</f>
        <v>0.15332262881398698</v>
      </c>
      <c r="AL12" s="480"/>
      <c r="AM12" s="224">
        <f t="shared" si="8"/>
        <v>2.981273338049747E-3</v>
      </c>
      <c r="AN12" s="130">
        <f t="shared" si="8"/>
        <v>5.0961937402559769E-3</v>
      </c>
      <c r="AO12" s="56">
        <v>0</v>
      </c>
      <c r="AP12" s="56">
        <v>3</v>
      </c>
      <c r="AQ12" s="57">
        <f t="shared" si="19"/>
        <v>1.2776885734498914E-3</v>
      </c>
      <c r="AR12" s="222">
        <f>4/C12*2</f>
        <v>5.6786158819995174E-3</v>
      </c>
      <c r="AS12" s="455"/>
      <c r="AT12" s="24">
        <f t="shared" si="20"/>
        <v>0.22446006035036334</v>
      </c>
      <c r="AU12" s="458"/>
      <c r="AV12" s="25">
        <f t="shared" si="21"/>
        <v>0.24415152688354222</v>
      </c>
      <c r="AW12" s="58">
        <v>0.8</v>
      </c>
      <c r="AX12" s="133">
        <v>1</v>
      </c>
      <c r="AY12" s="109">
        <f t="shared" si="22"/>
        <v>0.8</v>
      </c>
      <c r="AZ12" s="27">
        <f t="shared" si="23"/>
        <v>0.44455935668314595</v>
      </c>
      <c r="BA12" s="28">
        <f t="shared" si="9"/>
        <v>0.47607726387761812</v>
      </c>
      <c r="BB12" s="29">
        <v>0.3</v>
      </c>
      <c r="BC12" s="30">
        <v>0.4</v>
      </c>
      <c r="BD12" s="31">
        <v>0.3</v>
      </c>
      <c r="BE12" s="110">
        <f t="shared" si="10"/>
        <v>1</v>
      </c>
      <c r="BF12" s="33">
        <v>1.6</v>
      </c>
      <c r="BG12" s="460"/>
      <c r="BH12" s="59">
        <v>1</v>
      </c>
      <c r="BI12" s="458"/>
      <c r="BJ12" s="32">
        <f t="shared" si="11"/>
        <v>1.0658316429929617</v>
      </c>
      <c r="BK12" s="60">
        <v>18.899999999999999</v>
      </c>
      <c r="BL12" s="60">
        <v>66.900000000000006</v>
      </c>
      <c r="BM12" s="36">
        <v>6.4</v>
      </c>
      <c r="BN12" s="36">
        <v>6.4</v>
      </c>
      <c r="BO12" s="38">
        <f t="shared" si="24"/>
        <v>0.34515688949522499</v>
      </c>
      <c r="BP12" s="61"/>
      <c r="BQ12" s="62"/>
      <c r="BR12" s="23">
        <f t="shared" si="12"/>
        <v>1408.79400301735</v>
      </c>
      <c r="BS12" s="23">
        <f t="shared" si="13"/>
        <v>1</v>
      </c>
      <c r="BT12" s="63">
        <f t="shared" si="25"/>
        <v>0.82329655974645599</v>
      </c>
      <c r="BU12" s="42">
        <v>0.3</v>
      </c>
      <c r="BV12" s="43">
        <v>0.4</v>
      </c>
      <c r="BW12" s="43">
        <v>0.3</v>
      </c>
      <c r="BX12" s="64">
        <f t="shared" si="26"/>
        <v>1</v>
      </c>
      <c r="BY12" s="65">
        <v>1</v>
      </c>
      <c r="BZ12" s="46">
        <f t="shared" si="14"/>
        <v>1.1049700659427841</v>
      </c>
      <c r="CA12" s="47">
        <f t="shared" si="15"/>
        <v>0.68631126067602388</v>
      </c>
      <c r="CB12" s="66">
        <f>51+71+23+270+233+102</f>
        <v>750</v>
      </c>
      <c r="CC12" s="49">
        <f t="shared" si="31"/>
        <v>1.2824675655623501</v>
      </c>
      <c r="CD12" s="67">
        <f t="shared" si="27"/>
        <v>0.99075579372194977</v>
      </c>
      <c r="CE12" s="51">
        <f t="shared" si="28"/>
        <v>0.93379665532069123</v>
      </c>
      <c r="CF12" s="464"/>
      <c r="CG12" s="467"/>
      <c r="CH12" s="52">
        <v>1305</v>
      </c>
      <c r="CI12" s="135">
        <f t="shared" si="29"/>
        <v>504.86348500415693</v>
      </c>
      <c r="CJ12" s="139">
        <v>524</v>
      </c>
      <c r="CK12" s="147">
        <f t="shared" si="30"/>
        <v>-19.136514995843072</v>
      </c>
      <c r="CL12" s="143" t="s">
        <v>83</v>
      </c>
      <c r="CM12" s="234"/>
    </row>
    <row r="13" spans="1:91" ht="16.5" customHeight="1">
      <c r="A13" s="53">
        <v>8</v>
      </c>
      <c r="B13" s="197" t="s">
        <v>84</v>
      </c>
      <c r="C13" s="201">
        <v>774.23183303997996</v>
      </c>
      <c r="D13" s="432"/>
      <c r="E13" s="432"/>
      <c r="F13" s="429"/>
      <c r="G13" s="55">
        <f t="shared" si="16"/>
        <v>774.23183303997996</v>
      </c>
      <c r="H13" s="115">
        <v>0</v>
      </c>
      <c r="I13" s="202">
        <f t="shared" si="17"/>
        <v>774.23183303997996</v>
      </c>
      <c r="J13" s="20">
        <f t="shared" si="0"/>
        <v>774.23183303997996</v>
      </c>
      <c r="K13" s="215">
        <f t="shared" si="1"/>
        <v>0.14021268280455323</v>
      </c>
      <c r="L13" s="209">
        <f t="shared" si="1"/>
        <v>0.13252052364495431</v>
      </c>
      <c r="M13" s="115">
        <v>139</v>
      </c>
      <c r="N13" s="115">
        <v>83</v>
      </c>
      <c r="O13" s="210">
        <f t="shared" si="18"/>
        <v>0.13613493465665513</v>
      </c>
      <c r="P13" s="128">
        <f>49/C13*2</f>
        <v>0.12657707396918599</v>
      </c>
      <c r="Q13" s="449"/>
      <c r="R13" s="224">
        <f t="shared" si="2"/>
        <v>0</v>
      </c>
      <c r="S13" s="130">
        <f t="shared" si="2"/>
        <v>0</v>
      </c>
      <c r="T13" s="56">
        <v>0</v>
      </c>
      <c r="U13" s="56">
        <v>31</v>
      </c>
      <c r="V13" s="132">
        <f t="shared" si="3"/>
        <v>2.4023811998233256E-2</v>
      </c>
      <c r="W13" s="222">
        <f>14/J13*2</f>
        <v>3.6164878276910284E-2</v>
      </c>
      <c r="X13" s="451"/>
      <c r="Y13" s="224">
        <f t="shared" si="4"/>
        <v>2.7548794424104074E-3</v>
      </c>
      <c r="Z13" s="130">
        <f t="shared" si="4"/>
        <v>1.1340902595546778E-3</v>
      </c>
      <c r="AA13" s="56">
        <v>15</v>
      </c>
      <c r="AB13" s="56">
        <v>32</v>
      </c>
      <c r="AC13" s="130">
        <f t="shared" si="5"/>
        <v>3.2548390449219256E-2</v>
      </c>
      <c r="AD13" s="222">
        <f>1.2/J13*2</f>
        <v>3.0998467094494526E-3</v>
      </c>
      <c r="AE13" s="449"/>
      <c r="AF13" s="224">
        <f t="shared" si="6"/>
        <v>0.14671239973138317</v>
      </c>
      <c r="AG13" s="130">
        <f t="shared" si="6"/>
        <v>0.10072289574308502</v>
      </c>
      <c r="AH13" s="56">
        <v>83</v>
      </c>
      <c r="AI13" s="56">
        <v>123</v>
      </c>
      <c r="AJ13" s="57">
        <f t="shared" si="7"/>
        <v>0.13820149912962143</v>
      </c>
      <c r="AK13" s="222">
        <f>58/C13*2</f>
        <v>0.14982592429005689</v>
      </c>
      <c r="AL13" s="480"/>
      <c r="AM13" s="224">
        <f t="shared" si="8"/>
        <v>0</v>
      </c>
      <c r="AN13" s="130">
        <f t="shared" si="8"/>
        <v>0</v>
      </c>
      <c r="AO13" s="56">
        <v>0</v>
      </c>
      <c r="AP13" s="56">
        <v>0</v>
      </c>
      <c r="AQ13" s="57">
        <f t="shared" si="19"/>
        <v>0</v>
      </c>
      <c r="AR13" s="222">
        <v>0</v>
      </c>
      <c r="AS13" s="455"/>
      <c r="AT13" s="24">
        <f t="shared" si="20"/>
        <v>0.28967996197834678</v>
      </c>
      <c r="AU13" s="458"/>
      <c r="AV13" s="25">
        <f t="shared" si="21"/>
        <v>0.23437750964759402</v>
      </c>
      <c r="AW13" s="58">
        <v>0.8</v>
      </c>
      <c r="AX13" s="133">
        <v>1</v>
      </c>
      <c r="AY13" s="109">
        <f t="shared" si="22"/>
        <v>0.8</v>
      </c>
      <c r="AZ13" s="27">
        <f t="shared" si="23"/>
        <v>0.54231079616656586</v>
      </c>
      <c r="BA13" s="28">
        <f t="shared" si="9"/>
        <v>0.49828103238236393</v>
      </c>
      <c r="BB13" s="29">
        <v>0.3</v>
      </c>
      <c r="BC13" s="30">
        <v>0.4</v>
      </c>
      <c r="BD13" s="31">
        <v>0.3</v>
      </c>
      <c r="BE13" s="110">
        <f t="shared" si="10"/>
        <v>1</v>
      </c>
      <c r="BF13" s="33">
        <v>1.6</v>
      </c>
      <c r="BG13" s="460"/>
      <c r="BH13" s="59">
        <v>1</v>
      </c>
      <c r="BI13" s="458"/>
      <c r="BJ13" s="32">
        <f t="shared" si="11"/>
        <v>1.0658316429929617</v>
      </c>
      <c r="BK13" s="60">
        <v>17.2</v>
      </c>
      <c r="BL13" s="60">
        <v>66.900000000000006</v>
      </c>
      <c r="BM13" s="36">
        <v>6.4</v>
      </c>
      <c r="BN13" s="36">
        <v>6.4</v>
      </c>
      <c r="BO13" s="38">
        <f t="shared" si="24"/>
        <v>0.32196452933151432</v>
      </c>
      <c r="BP13" s="61"/>
      <c r="BQ13" s="62"/>
      <c r="BR13" s="23">
        <f t="shared" si="12"/>
        <v>774.23183303997996</v>
      </c>
      <c r="BS13" s="23">
        <f t="shared" si="13"/>
        <v>1</v>
      </c>
      <c r="BT13" s="63">
        <f t="shared" si="25"/>
        <v>0.81633885169734277</v>
      </c>
      <c r="BU13" s="42">
        <v>0.3</v>
      </c>
      <c r="BV13" s="43">
        <v>0.4</v>
      </c>
      <c r="BW13" s="43">
        <v>0.3</v>
      </c>
      <c r="BX13" s="64">
        <f t="shared" si="26"/>
        <v>1</v>
      </c>
      <c r="BY13" s="65">
        <v>1</v>
      </c>
      <c r="BZ13" s="46">
        <f t="shared" si="14"/>
        <v>1.354924225103276</v>
      </c>
      <c r="CA13" s="47">
        <f t="shared" si="15"/>
        <v>0.68631126067602388</v>
      </c>
      <c r="CB13" s="66">
        <f>332+21+43+20+230+71</f>
        <v>717</v>
      </c>
      <c r="CC13" s="49">
        <f t="shared" si="31"/>
        <v>1.6119695134000485</v>
      </c>
      <c r="CD13" s="67">
        <f t="shared" si="27"/>
        <v>1.1645926258214068</v>
      </c>
      <c r="CE13" s="51">
        <f t="shared" si="28"/>
        <v>1.0883633149222807</v>
      </c>
      <c r="CF13" s="464"/>
      <c r="CG13" s="467"/>
      <c r="CH13" s="52">
        <v>812</v>
      </c>
      <c r="CI13" s="135">
        <f t="shared" si="29"/>
        <v>337.67443320216921</v>
      </c>
      <c r="CJ13" s="139">
        <v>398</v>
      </c>
      <c r="CK13" s="147">
        <f t="shared" si="30"/>
        <v>-60.325566797830788</v>
      </c>
      <c r="CL13" s="143" t="s">
        <v>84</v>
      </c>
      <c r="CM13" s="234"/>
    </row>
    <row r="14" spans="1:91" ht="15">
      <c r="A14" s="53">
        <v>9</v>
      </c>
      <c r="B14" s="197" t="s">
        <v>85</v>
      </c>
      <c r="C14" s="201">
        <v>1202.0389112396279</v>
      </c>
      <c r="D14" s="432"/>
      <c r="E14" s="432"/>
      <c r="F14" s="429"/>
      <c r="G14" s="55">
        <f t="shared" si="16"/>
        <v>1202.0389112396279</v>
      </c>
      <c r="H14" s="115">
        <v>0</v>
      </c>
      <c r="I14" s="202">
        <f t="shared" si="17"/>
        <v>1202.0389112396279</v>
      </c>
      <c r="J14" s="20">
        <f t="shared" si="0"/>
        <v>1202.0389112396279</v>
      </c>
      <c r="K14" s="215">
        <f t="shared" si="1"/>
        <v>7.0603527054335882E-2</v>
      </c>
      <c r="L14" s="209">
        <f t="shared" si="1"/>
        <v>7.4904518396849279E-2</v>
      </c>
      <c r="M14" s="115">
        <v>77</v>
      </c>
      <c r="N14" s="115">
        <v>86</v>
      </c>
      <c r="O14" s="210">
        <f t="shared" si="18"/>
        <v>6.8550193533271964E-2</v>
      </c>
      <c r="P14" s="128">
        <f>43/C14*2</f>
        <v>7.1545104901230436E-2</v>
      </c>
      <c r="Q14" s="449"/>
      <c r="R14" s="224">
        <f t="shared" si="2"/>
        <v>0</v>
      </c>
      <c r="S14" s="130">
        <f t="shared" si="2"/>
        <v>0</v>
      </c>
      <c r="T14" s="56"/>
      <c r="U14" s="56"/>
      <c r="V14" s="132">
        <f t="shared" si="3"/>
        <v>0</v>
      </c>
      <c r="W14" s="222">
        <v>0</v>
      </c>
      <c r="X14" s="451"/>
      <c r="Y14" s="224">
        <f t="shared" si="4"/>
        <v>2.2391421983012482E-3</v>
      </c>
      <c r="Z14" s="130">
        <f t="shared" si="4"/>
        <v>2.2522707441964209E-3</v>
      </c>
      <c r="AA14" s="56">
        <v>33</v>
      </c>
      <c r="AB14" s="56">
        <v>31</v>
      </c>
      <c r="AC14" s="130">
        <f t="shared" si="5"/>
        <v>2.6455050416966601E-2</v>
      </c>
      <c r="AD14" s="222">
        <f>3.7/J14*2</f>
        <v>6.1562067008035497E-3</v>
      </c>
      <c r="AE14" s="449"/>
      <c r="AF14" s="224">
        <f t="shared" si="6"/>
        <v>6.1820651886367491E-3</v>
      </c>
      <c r="AG14" s="130">
        <f t="shared" si="6"/>
        <v>6.7112583465121483E-3</v>
      </c>
      <c r="AH14" s="56">
        <v>1</v>
      </c>
      <c r="AI14" s="56">
        <v>11</v>
      </c>
      <c r="AJ14" s="57">
        <f t="shared" si="7"/>
        <v>5.8234387710303847E-3</v>
      </c>
      <c r="AK14" s="222">
        <f>6/C14*2</f>
        <v>9.9830378931949453E-3</v>
      </c>
      <c r="AL14" s="480"/>
      <c r="AM14" s="224">
        <f t="shared" si="8"/>
        <v>0</v>
      </c>
      <c r="AN14" s="130">
        <f t="shared" si="8"/>
        <v>1.4931894284693293E-3</v>
      </c>
      <c r="AO14" s="56">
        <v>0</v>
      </c>
      <c r="AP14" s="56">
        <v>0</v>
      </c>
      <c r="AQ14" s="57">
        <f t="shared" si="19"/>
        <v>0</v>
      </c>
      <c r="AR14" s="222">
        <f>1/C14*2</f>
        <v>1.6638396488658242E-3</v>
      </c>
      <c r="AS14" s="455"/>
      <c r="AT14" s="24">
        <f t="shared" si="20"/>
        <v>7.9024734441273878E-2</v>
      </c>
      <c r="AU14" s="458"/>
      <c r="AV14" s="25">
        <f t="shared" si="21"/>
        <v>8.5361236916027192E-2</v>
      </c>
      <c r="AW14" s="58">
        <v>0.8</v>
      </c>
      <c r="AX14" s="133">
        <v>1</v>
      </c>
      <c r="AY14" s="109">
        <f t="shared" si="22"/>
        <v>0.8</v>
      </c>
      <c r="AZ14" s="27">
        <f t="shared" si="23"/>
        <v>0.15628210460585704</v>
      </c>
      <c r="BA14" s="28">
        <f t="shared" si="9"/>
        <v>0.17369647974274927</v>
      </c>
      <c r="BB14" s="29">
        <v>0.3</v>
      </c>
      <c r="BC14" s="30">
        <v>0.4</v>
      </c>
      <c r="BD14" s="31">
        <v>0.3</v>
      </c>
      <c r="BE14" s="110">
        <f t="shared" si="10"/>
        <v>1</v>
      </c>
      <c r="BF14" s="33">
        <v>1.6</v>
      </c>
      <c r="BG14" s="460"/>
      <c r="BH14" s="59">
        <v>1</v>
      </c>
      <c r="BI14" s="458"/>
      <c r="BJ14" s="32">
        <f t="shared" si="11"/>
        <v>1.0658316429929617</v>
      </c>
      <c r="BK14" s="60">
        <v>19.899999999999999</v>
      </c>
      <c r="BL14" s="60">
        <v>66.900000000000006</v>
      </c>
      <c r="BM14" s="36">
        <v>6.4</v>
      </c>
      <c r="BN14" s="36">
        <v>6.4</v>
      </c>
      <c r="BO14" s="38">
        <f t="shared" si="24"/>
        <v>0.35879945429740784</v>
      </c>
      <c r="BP14" s="61"/>
      <c r="BQ14" s="62"/>
      <c r="BR14" s="23">
        <f t="shared" si="12"/>
        <v>1202.0389112396279</v>
      </c>
      <c r="BS14" s="23">
        <f t="shared" si="13"/>
        <v>1</v>
      </c>
      <c r="BT14" s="63">
        <f t="shared" si="25"/>
        <v>0.82738932918711083</v>
      </c>
      <c r="BU14" s="42">
        <v>0.3</v>
      </c>
      <c r="BV14" s="43">
        <v>0.4</v>
      </c>
      <c r="BW14" s="43">
        <v>0.3</v>
      </c>
      <c r="BX14" s="64">
        <f t="shared" si="26"/>
        <v>1</v>
      </c>
      <c r="BY14" s="65">
        <v>1</v>
      </c>
      <c r="BZ14" s="46">
        <f t="shared" si="14"/>
        <v>1.1574260333693562</v>
      </c>
      <c r="CA14" s="47">
        <f t="shared" si="15"/>
        <v>0.68631126067602388</v>
      </c>
      <c r="CB14" s="66">
        <f>165+204</f>
        <v>369</v>
      </c>
      <c r="CC14" s="49">
        <f t="shared" si="31"/>
        <v>1.0938331897952556</v>
      </c>
      <c r="CD14" s="67">
        <f t="shared" si="27"/>
        <v>0.94990227121979309</v>
      </c>
      <c r="CE14" s="51">
        <f t="shared" si="28"/>
        <v>0.89974249816298202</v>
      </c>
      <c r="CF14" s="464"/>
      <c r="CG14" s="467"/>
      <c r="CH14" s="52">
        <v>1294</v>
      </c>
      <c r="CI14" s="135">
        <f t="shared" si="29"/>
        <v>361.94828857831135</v>
      </c>
      <c r="CJ14" s="139">
        <v>378</v>
      </c>
      <c r="CK14" s="147">
        <f t="shared" si="30"/>
        <v>-16.051711421688651</v>
      </c>
      <c r="CL14" s="143" t="s">
        <v>85</v>
      </c>
      <c r="CM14" s="234"/>
    </row>
    <row r="15" spans="1:91" ht="15">
      <c r="A15" s="53">
        <v>10</v>
      </c>
      <c r="B15" s="197" t="s">
        <v>86</v>
      </c>
      <c r="C15" s="201">
        <v>2338.0921548906213</v>
      </c>
      <c r="D15" s="432"/>
      <c r="E15" s="432"/>
      <c r="F15" s="429"/>
      <c r="G15" s="55">
        <f t="shared" si="16"/>
        <v>2338.0921548906213</v>
      </c>
      <c r="H15" s="115">
        <v>0</v>
      </c>
      <c r="I15" s="202">
        <f t="shared" si="17"/>
        <v>2338.0921548906213</v>
      </c>
      <c r="J15" s="20">
        <f t="shared" si="0"/>
        <v>2338.0921548906213</v>
      </c>
      <c r="K15" s="215">
        <f t="shared" si="1"/>
        <v>0.11083239649479573</v>
      </c>
      <c r="L15" s="209">
        <f t="shared" si="1"/>
        <v>9.4034184228646511E-2</v>
      </c>
      <c r="M15" s="115">
        <v>293</v>
      </c>
      <c r="N15" s="115">
        <v>224</v>
      </c>
      <c r="O15" s="210">
        <f t="shared" si="18"/>
        <v>0.10760910320567334</v>
      </c>
      <c r="P15" s="128">
        <f>105/C15*2</f>
        <v>8.9816819050840213E-2</v>
      </c>
      <c r="Q15" s="449"/>
      <c r="R15" s="224">
        <f t="shared" si="2"/>
        <v>0</v>
      </c>
      <c r="S15" s="130">
        <f t="shared" si="2"/>
        <v>0</v>
      </c>
      <c r="T15" s="56"/>
      <c r="U15" s="56"/>
      <c r="V15" s="132">
        <f t="shared" si="3"/>
        <v>0</v>
      </c>
      <c r="W15" s="222">
        <f>90/J15*2</f>
        <v>7.6985844900720177E-2</v>
      </c>
      <c r="X15" s="451"/>
      <c r="Y15" s="224">
        <f t="shared" si="4"/>
        <v>1.7520916425681145E-3</v>
      </c>
      <c r="Z15" s="130">
        <f t="shared" si="4"/>
        <v>1.5021628273311255E-3</v>
      </c>
      <c r="AA15" s="56">
        <v>49</v>
      </c>
      <c r="AB15" s="56">
        <v>48</v>
      </c>
      <c r="AC15" s="130">
        <f t="shared" si="5"/>
        <v>2.0700638295526982E-2</v>
      </c>
      <c r="AD15" s="222">
        <f>4.8/J15*2</f>
        <v>4.1059117280384094E-3</v>
      </c>
      <c r="AE15" s="449"/>
      <c r="AF15" s="224">
        <f t="shared" si="6"/>
        <v>2.015929834379724E-2</v>
      </c>
      <c r="AG15" s="130">
        <f t="shared" si="6"/>
        <v>2.1277046001199257E-2</v>
      </c>
      <c r="AH15" s="56">
        <v>0</v>
      </c>
      <c r="AI15" s="56">
        <v>74</v>
      </c>
      <c r="AJ15" s="57">
        <f t="shared" si="7"/>
        <v>1.8989841742177646E-2</v>
      </c>
      <c r="AK15" s="222">
        <f>37/C15*2</f>
        <v>3.1649736236962739E-2</v>
      </c>
      <c r="AL15" s="480"/>
      <c r="AM15" s="224">
        <f t="shared" si="8"/>
        <v>2.395115174689072E-3</v>
      </c>
      <c r="AN15" s="130">
        <f t="shared" si="8"/>
        <v>9.2119814411118165E-3</v>
      </c>
      <c r="AO15" s="56">
        <v>0</v>
      </c>
      <c r="AP15" s="56">
        <v>4</v>
      </c>
      <c r="AQ15" s="57">
        <f t="shared" si="19"/>
        <v>1.0264779320096023E-3</v>
      </c>
      <c r="AR15" s="222">
        <f>12/C15*2</f>
        <v>1.0264779320096024E-2</v>
      </c>
      <c r="AS15" s="455"/>
      <c r="AT15" s="24">
        <f t="shared" si="20"/>
        <v>0.13513890165585016</v>
      </c>
      <c r="AU15" s="458"/>
      <c r="AV15" s="25">
        <f t="shared" si="21"/>
        <v>0.12602537449828871</v>
      </c>
      <c r="AW15" s="58">
        <v>0.8</v>
      </c>
      <c r="AX15" s="133">
        <v>1</v>
      </c>
      <c r="AY15" s="109">
        <f t="shared" si="22"/>
        <v>0.8</v>
      </c>
      <c r="AZ15" s="27">
        <f t="shared" si="23"/>
        <v>0.25948944674943153</v>
      </c>
      <c r="BA15" s="28">
        <f t="shared" si="9"/>
        <v>0.30661640336747953</v>
      </c>
      <c r="BB15" s="29">
        <v>0.3</v>
      </c>
      <c r="BC15" s="30">
        <v>0.4</v>
      </c>
      <c r="BD15" s="31">
        <v>0.3</v>
      </c>
      <c r="BE15" s="110">
        <f t="shared" si="10"/>
        <v>1</v>
      </c>
      <c r="BF15" s="33">
        <v>1.6</v>
      </c>
      <c r="BG15" s="460"/>
      <c r="BH15" s="59">
        <v>1</v>
      </c>
      <c r="BI15" s="458"/>
      <c r="BJ15" s="32">
        <f t="shared" si="11"/>
        <v>1.0658316429929617</v>
      </c>
      <c r="BK15" s="60">
        <v>19.5</v>
      </c>
      <c r="BL15" s="60">
        <v>66.900000000000006</v>
      </c>
      <c r="BM15" s="36">
        <v>6.4</v>
      </c>
      <c r="BN15" s="36">
        <v>6.4</v>
      </c>
      <c r="BO15" s="38">
        <f t="shared" si="24"/>
        <v>0.35334242837653473</v>
      </c>
      <c r="BP15" s="61"/>
      <c r="BQ15" s="62"/>
      <c r="BR15" s="23">
        <f t="shared" si="12"/>
        <v>2338.0921548906213</v>
      </c>
      <c r="BS15" s="23">
        <f t="shared" si="13"/>
        <v>1</v>
      </c>
      <c r="BT15" s="63">
        <f t="shared" si="25"/>
        <v>0.82575222141084892</v>
      </c>
      <c r="BU15" s="42">
        <v>0.3</v>
      </c>
      <c r="BV15" s="43">
        <v>0.4</v>
      </c>
      <c r="BW15" s="43">
        <v>0.3</v>
      </c>
      <c r="BX15" s="64">
        <f t="shared" si="26"/>
        <v>1</v>
      </c>
      <c r="BY15" s="65">
        <v>1</v>
      </c>
      <c r="BZ15" s="46">
        <f t="shared" si="14"/>
        <v>0.98375665779525234</v>
      </c>
      <c r="CA15" s="47">
        <f t="shared" si="15"/>
        <v>0.68631126067602388</v>
      </c>
      <c r="CB15" s="66">
        <f>70+254+105+53+44+168</f>
        <v>694</v>
      </c>
      <c r="CC15" s="49">
        <f t="shared" si="31"/>
        <v>1.0853341135069057</v>
      </c>
      <c r="CD15" s="67">
        <f t="shared" si="27"/>
        <v>0.89525173566105698</v>
      </c>
      <c r="CE15" s="51">
        <f t="shared" si="28"/>
        <v>0.84629994970762745</v>
      </c>
      <c r="CF15" s="464"/>
      <c r="CG15" s="467"/>
      <c r="CH15" s="52">
        <v>2112</v>
      </c>
      <c r="CI15" s="135">
        <f t="shared" si="29"/>
        <v>782.54824880898923</v>
      </c>
      <c r="CJ15" s="139">
        <v>743</v>
      </c>
      <c r="CK15" s="147">
        <f t="shared" si="30"/>
        <v>39.548248808989229</v>
      </c>
      <c r="CL15" s="143" t="s">
        <v>86</v>
      </c>
      <c r="CM15" s="234"/>
    </row>
    <row r="16" spans="1:91" ht="15">
      <c r="A16" s="53">
        <v>11</v>
      </c>
      <c r="B16" s="197" t="s">
        <v>87</v>
      </c>
      <c r="C16" s="201">
        <v>133.07109630374654</v>
      </c>
      <c r="D16" s="432"/>
      <c r="E16" s="432"/>
      <c r="F16" s="429"/>
      <c r="G16" s="55">
        <f t="shared" si="16"/>
        <v>133.07109630374654</v>
      </c>
      <c r="H16" s="115">
        <v>4430</v>
      </c>
      <c r="I16" s="202">
        <f t="shared" si="17"/>
        <v>4563.0710963037463</v>
      </c>
      <c r="J16" s="20">
        <f t="shared" si="0"/>
        <v>4563.0710963037463</v>
      </c>
      <c r="K16" s="215">
        <f t="shared" si="1"/>
        <v>0.69696286542912644</v>
      </c>
      <c r="L16" s="209">
        <f t="shared" si="1"/>
        <v>0.70576023801435661</v>
      </c>
      <c r="M16" s="115">
        <v>3056</v>
      </c>
      <c r="N16" s="115">
        <v>3109</v>
      </c>
      <c r="O16" s="210">
        <f t="shared" si="18"/>
        <v>0.67669337926845596</v>
      </c>
      <c r="P16" s="128">
        <f>1538/J16*2</f>
        <v>0.67410740159005456</v>
      </c>
      <c r="Q16" s="449"/>
      <c r="R16" s="224">
        <f t="shared" si="2"/>
        <v>0</v>
      </c>
      <c r="S16" s="130">
        <f t="shared" si="2"/>
        <v>0</v>
      </c>
      <c r="T16" s="56"/>
      <c r="U16" s="56"/>
      <c r="V16" s="132">
        <f t="shared" si="3"/>
        <v>0</v>
      </c>
      <c r="W16" s="222">
        <v>0</v>
      </c>
      <c r="X16" s="451"/>
      <c r="Y16" s="224">
        <f t="shared" si="4"/>
        <v>2.6413492848195172E-3</v>
      </c>
      <c r="Z16" s="130">
        <f t="shared" si="4"/>
        <v>2.726020289344158E-3</v>
      </c>
      <c r="AA16" s="56">
        <v>149</v>
      </c>
      <c r="AB16" s="56">
        <v>138</v>
      </c>
      <c r="AC16" s="130">
        <f t="shared" si="5"/>
        <v>3.1207052661386143E-2</v>
      </c>
      <c r="AD16" s="222">
        <f>17/J16*2</f>
        <v>7.451122124207365E-3</v>
      </c>
      <c r="AE16" s="449"/>
      <c r="AF16" s="224">
        <f t="shared" si="6"/>
        <v>0.13763376700604693</v>
      </c>
      <c r="AG16" s="130">
        <f t="shared" si="6"/>
        <v>0.11815670468996357</v>
      </c>
      <c r="AH16" s="56">
        <v>408</v>
      </c>
      <c r="AI16" s="56">
        <v>714</v>
      </c>
      <c r="AJ16" s="57">
        <f t="shared" si="7"/>
        <v>0.12964952496120816</v>
      </c>
      <c r="AK16" s="222">
        <f>401/J16*2</f>
        <v>0.17575882187100902</v>
      </c>
      <c r="AL16" s="480"/>
      <c r="AM16" s="224">
        <f t="shared" si="8"/>
        <v>0</v>
      </c>
      <c r="AN16" s="130">
        <f t="shared" si="8"/>
        <v>0</v>
      </c>
      <c r="AO16" s="56">
        <v>0</v>
      </c>
      <c r="AP16" s="56">
        <v>0</v>
      </c>
      <c r="AQ16" s="57">
        <f t="shared" si="19"/>
        <v>0</v>
      </c>
      <c r="AR16" s="222">
        <v>0</v>
      </c>
      <c r="AS16" s="455"/>
      <c r="AT16" s="24">
        <f t="shared" si="20"/>
        <v>0.83723798171999286</v>
      </c>
      <c r="AU16" s="458"/>
      <c r="AV16" s="25">
        <f t="shared" si="21"/>
        <v>0.82664296299366435</v>
      </c>
      <c r="AW16" s="58">
        <v>1</v>
      </c>
      <c r="AX16" s="133">
        <v>1</v>
      </c>
      <c r="AY16" s="109">
        <f t="shared" si="22"/>
        <v>1</v>
      </c>
      <c r="AZ16" s="27">
        <f t="shared" si="23"/>
        <v>1.6244620152738571</v>
      </c>
      <c r="BA16" s="28">
        <f t="shared" si="9"/>
        <v>1.5007653111456771</v>
      </c>
      <c r="BB16" s="29">
        <v>0.3</v>
      </c>
      <c r="BC16" s="30">
        <v>0.4</v>
      </c>
      <c r="BD16" s="31">
        <v>0.3</v>
      </c>
      <c r="BE16" s="110">
        <f t="shared" si="10"/>
        <v>1</v>
      </c>
      <c r="BF16" s="33">
        <v>1.6</v>
      </c>
      <c r="BG16" s="460"/>
      <c r="BH16" s="59">
        <v>1</v>
      </c>
      <c r="BI16" s="458"/>
      <c r="BJ16" s="32">
        <f t="shared" si="11"/>
        <v>0.92600066966415351</v>
      </c>
      <c r="BK16" s="60">
        <v>44.5</v>
      </c>
      <c r="BL16" s="60">
        <v>66.900000000000006</v>
      </c>
      <c r="BM16" s="36">
        <v>6.4</v>
      </c>
      <c r="BN16" s="36">
        <v>6.4</v>
      </c>
      <c r="BO16" s="38">
        <f t="shared" si="24"/>
        <v>0.69440654843110494</v>
      </c>
      <c r="BP16" s="61"/>
      <c r="BQ16" s="62"/>
      <c r="BR16" s="23">
        <f t="shared" si="12"/>
        <v>4563.0710963037463</v>
      </c>
      <c r="BS16" s="23">
        <f t="shared" si="13"/>
        <v>1</v>
      </c>
      <c r="BT16" s="63">
        <f t="shared" si="25"/>
        <v>0.88612216542857758</v>
      </c>
      <c r="BU16" s="42">
        <v>0.3</v>
      </c>
      <c r="BV16" s="43">
        <v>0.4</v>
      </c>
      <c r="BW16" s="43">
        <v>0.3</v>
      </c>
      <c r="BX16" s="64">
        <f t="shared" si="26"/>
        <v>1</v>
      </c>
      <c r="BY16" s="65">
        <v>1</v>
      </c>
      <c r="BZ16" s="46">
        <f t="shared" si="14"/>
        <v>0.89415588557189563</v>
      </c>
      <c r="CA16" s="47">
        <f t="shared" si="15"/>
        <v>1.3526078886767552</v>
      </c>
      <c r="CB16" s="66">
        <f>58+63</f>
        <v>121</v>
      </c>
      <c r="CC16" s="49">
        <f t="shared" si="31"/>
        <v>0.85911029716806786</v>
      </c>
      <c r="CD16" s="67">
        <f t="shared" si="27"/>
        <v>1.0670230102926912</v>
      </c>
      <c r="CE16" s="51">
        <f t="shared" si="28"/>
        <v>1.082422416889254</v>
      </c>
      <c r="CF16" s="464"/>
      <c r="CG16" s="467"/>
      <c r="CH16" s="52">
        <v>3724</v>
      </c>
      <c r="CI16" s="135">
        <f t="shared" si="29"/>
        <v>470.95242231535394</v>
      </c>
      <c r="CJ16" s="139">
        <v>1140</v>
      </c>
      <c r="CK16" s="147">
        <f t="shared" si="30"/>
        <v>-669.04757768464606</v>
      </c>
      <c r="CL16" s="143" t="s">
        <v>101</v>
      </c>
      <c r="CM16" s="234"/>
    </row>
    <row r="17" spans="1:176" ht="15">
      <c r="A17" s="53">
        <v>12</v>
      </c>
      <c r="B17" s="197" t="s">
        <v>88</v>
      </c>
      <c r="C17" s="201">
        <v>1650.7414508423435</v>
      </c>
      <c r="D17" s="432"/>
      <c r="E17" s="432"/>
      <c r="F17" s="429"/>
      <c r="G17" s="55">
        <f t="shared" si="16"/>
        <v>1650.7414508423435</v>
      </c>
      <c r="H17" s="115">
        <v>0</v>
      </c>
      <c r="I17" s="202">
        <f t="shared" si="17"/>
        <v>1650.7414508423435</v>
      </c>
      <c r="J17" s="20">
        <f t="shared" si="0"/>
        <v>1650.7414508423435</v>
      </c>
      <c r="K17" s="215">
        <f t="shared" si="1"/>
        <v>0.11417992275280241</v>
      </c>
      <c r="L17" s="209">
        <f t="shared" si="1"/>
        <v>0.10401425973128013</v>
      </c>
      <c r="M17" s="115">
        <v>228</v>
      </c>
      <c r="N17" s="115">
        <v>153</v>
      </c>
      <c r="O17" s="210">
        <f t="shared" si="18"/>
        <v>0.11085927472568063</v>
      </c>
      <c r="P17" s="128">
        <f>82/C17*2</f>
        <v>9.9349295382577182E-2</v>
      </c>
      <c r="Q17" s="449"/>
      <c r="R17" s="224">
        <f t="shared" si="2"/>
        <v>0</v>
      </c>
      <c r="S17" s="130">
        <f t="shared" si="2"/>
        <v>0</v>
      </c>
      <c r="T17" s="56">
        <v>127</v>
      </c>
      <c r="U17" s="56">
        <v>0</v>
      </c>
      <c r="V17" s="132">
        <f t="shared" si="3"/>
        <v>3.0774050033139766E-2</v>
      </c>
      <c r="W17" s="222">
        <v>0</v>
      </c>
      <c r="X17" s="451"/>
      <c r="Y17" s="224">
        <f t="shared" si="4"/>
        <v>1.8253410566888371E-3</v>
      </c>
      <c r="Z17" s="130">
        <f t="shared" si="4"/>
        <v>4.2996200113518679E-3</v>
      </c>
      <c r="AA17" s="56">
        <v>26</v>
      </c>
      <c r="AB17" s="56">
        <v>42</v>
      </c>
      <c r="AC17" s="130">
        <f t="shared" si="5"/>
        <v>2.1566066558657001E-2</v>
      </c>
      <c r="AD17" s="222">
        <f>9.7/J17*2</f>
        <v>1.1752294697695105E-2</v>
      </c>
      <c r="AE17" s="449"/>
      <c r="AF17" s="224">
        <f t="shared" si="6"/>
        <v>2.6495506495537703E-2</v>
      </c>
      <c r="AG17" s="130">
        <f t="shared" si="6"/>
        <v>5.2128130563537392E-2</v>
      </c>
      <c r="AH17" s="56">
        <v>28</v>
      </c>
      <c r="AI17" s="56">
        <v>50</v>
      </c>
      <c r="AJ17" s="57">
        <f t="shared" si="7"/>
        <v>2.4958481522940123E-2</v>
      </c>
      <c r="AK17" s="222">
        <f>64/C17*2</f>
        <v>7.7540913469328537E-2</v>
      </c>
      <c r="AL17" s="480"/>
      <c r="AM17" s="224">
        <f t="shared" si="8"/>
        <v>0</v>
      </c>
      <c r="AN17" s="130">
        <f t="shared" si="8"/>
        <v>0</v>
      </c>
      <c r="AO17" s="56">
        <v>0</v>
      </c>
      <c r="AP17" s="56">
        <v>0</v>
      </c>
      <c r="AQ17" s="57">
        <f t="shared" si="19"/>
        <v>0</v>
      </c>
      <c r="AR17" s="222">
        <v>0</v>
      </c>
      <c r="AS17" s="455"/>
      <c r="AT17" s="24">
        <f t="shared" si="20"/>
        <v>0.14250077030502895</v>
      </c>
      <c r="AU17" s="458"/>
      <c r="AV17" s="25">
        <f t="shared" si="21"/>
        <v>0.16044201030616939</v>
      </c>
      <c r="AW17" s="58">
        <v>0.8</v>
      </c>
      <c r="AX17" s="133">
        <v>1</v>
      </c>
      <c r="AY17" s="109">
        <f t="shared" si="22"/>
        <v>0.8</v>
      </c>
      <c r="AZ17" s="27">
        <f t="shared" si="23"/>
        <v>0.28435073614317707</v>
      </c>
      <c r="BA17" s="28">
        <f t="shared" si="9"/>
        <v>0.34852774804566417</v>
      </c>
      <c r="BB17" s="29">
        <v>0.3</v>
      </c>
      <c r="BC17" s="30">
        <v>0.4</v>
      </c>
      <c r="BD17" s="31">
        <v>0.3</v>
      </c>
      <c r="BE17" s="110">
        <f t="shared" si="10"/>
        <v>1</v>
      </c>
      <c r="BF17" s="33">
        <v>1.6</v>
      </c>
      <c r="BG17" s="460"/>
      <c r="BH17" s="59">
        <v>1</v>
      </c>
      <c r="BI17" s="458"/>
      <c r="BJ17" s="32">
        <f t="shared" si="11"/>
        <v>1.0658316429929617</v>
      </c>
      <c r="BK17" s="60">
        <v>19.3</v>
      </c>
      <c r="BL17" s="60">
        <v>66.900000000000006</v>
      </c>
      <c r="BM17" s="36">
        <v>6.4</v>
      </c>
      <c r="BN17" s="36">
        <v>6.4</v>
      </c>
      <c r="BO17" s="38">
        <f t="shared" si="24"/>
        <v>0.35061391541609821</v>
      </c>
      <c r="BP17" s="61"/>
      <c r="BQ17" s="62"/>
      <c r="BR17" s="23">
        <f t="shared" si="12"/>
        <v>1650.7414508423435</v>
      </c>
      <c r="BS17" s="23">
        <f t="shared" si="13"/>
        <v>1</v>
      </c>
      <c r="BT17" s="63">
        <f t="shared" si="25"/>
        <v>0.82493366752271791</v>
      </c>
      <c r="BU17" s="42">
        <v>0.3</v>
      </c>
      <c r="BV17" s="43">
        <v>0.4</v>
      </c>
      <c r="BW17" s="43">
        <v>0.3</v>
      </c>
      <c r="BX17" s="64">
        <f t="shared" si="26"/>
        <v>1</v>
      </c>
      <c r="BY17" s="65">
        <v>1</v>
      </c>
      <c r="BZ17" s="46">
        <f t="shared" si="14"/>
        <v>1.0602709223668931</v>
      </c>
      <c r="CA17" s="47">
        <f t="shared" si="15"/>
        <v>0.68631126067602388</v>
      </c>
      <c r="CB17" s="66">
        <v>133</v>
      </c>
      <c r="CC17" s="49">
        <f t="shared" si="31"/>
        <v>0.90434788973585156</v>
      </c>
      <c r="CD17" s="67">
        <f t="shared" si="27"/>
        <v>0.86391014790123288</v>
      </c>
      <c r="CE17" s="51">
        <f t="shared" si="28"/>
        <v>0.81586254677754211</v>
      </c>
      <c r="CF17" s="464"/>
      <c r="CG17" s="467"/>
      <c r="CH17" s="52">
        <v>1297</v>
      </c>
      <c r="CI17" s="135">
        <f t="shared" si="29"/>
        <v>644.11243370634884</v>
      </c>
      <c r="CJ17" s="139">
        <v>618</v>
      </c>
      <c r="CK17" s="147">
        <f t="shared" si="30"/>
        <v>26.112433706348838</v>
      </c>
      <c r="CL17" s="143" t="s">
        <v>88</v>
      </c>
      <c r="CM17" s="234"/>
    </row>
    <row r="18" spans="1:176" ht="15">
      <c r="A18" s="53">
        <v>13</v>
      </c>
      <c r="B18" s="197" t="s">
        <v>89</v>
      </c>
      <c r="C18" s="201">
        <v>1137.1530047774704</v>
      </c>
      <c r="D18" s="432"/>
      <c r="E18" s="432"/>
      <c r="F18" s="429"/>
      <c r="G18" s="55">
        <f t="shared" si="16"/>
        <v>1137.1530047774704</v>
      </c>
      <c r="H18" s="115">
        <v>0</v>
      </c>
      <c r="I18" s="202">
        <f t="shared" si="17"/>
        <v>1137.1530047774704</v>
      </c>
      <c r="J18" s="20">
        <f t="shared" si="0"/>
        <v>1137.1530047774704</v>
      </c>
      <c r="K18" s="215">
        <f t="shared" si="1"/>
        <v>0.14600369473515434</v>
      </c>
      <c r="L18" s="209">
        <f t="shared" si="1"/>
        <v>0.13994351433110244</v>
      </c>
      <c r="M18" s="115">
        <v>160</v>
      </c>
      <c r="N18" s="115">
        <v>162</v>
      </c>
      <c r="O18" s="210">
        <f t="shared" si="18"/>
        <v>0.141757528954114</v>
      </c>
      <c r="P18" s="128">
        <f>76/C18*2</f>
        <v>0.1336671488897353</v>
      </c>
      <c r="Q18" s="449"/>
      <c r="R18" s="224">
        <f t="shared" si="2"/>
        <v>0</v>
      </c>
      <c r="S18" s="130">
        <f t="shared" si="2"/>
        <v>0</v>
      </c>
      <c r="T18" s="56"/>
      <c r="U18" s="56"/>
      <c r="V18" s="132">
        <f t="shared" si="3"/>
        <v>0</v>
      </c>
      <c r="W18" s="222">
        <v>0</v>
      </c>
      <c r="X18" s="451"/>
      <c r="Y18" s="224">
        <f t="shared" si="4"/>
        <v>3.0963319096054837E-3</v>
      </c>
      <c r="Z18" s="130">
        <f t="shared" si="4"/>
        <v>3.5390050652770095E-3</v>
      </c>
      <c r="AA18" s="56">
        <v>38</v>
      </c>
      <c r="AB18" s="56">
        <v>44</v>
      </c>
      <c r="AC18" s="130">
        <f t="shared" si="5"/>
        <v>3.6582588117190715E-2</v>
      </c>
      <c r="AD18" s="222">
        <f>5.5/J18*2</f>
        <v>9.6732805117571586E-3</v>
      </c>
      <c r="AE18" s="449"/>
      <c r="AF18" s="224">
        <f t="shared" si="6"/>
        <v>0.18633554177058873</v>
      </c>
      <c r="AG18" s="130">
        <f t="shared" si="6"/>
        <v>0.25657365665443227</v>
      </c>
      <c r="AH18" s="56">
        <v>205</v>
      </c>
      <c r="AI18" s="56">
        <v>196</v>
      </c>
      <c r="AJ18" s="57">
        <f t="shared" si="7"/>
        <v>0.1755260718315208</v>
      </c>
      <c r="AK18" s="222">
        <f>217/C18*2</f>
        <v>0.38165488564569156</v>
      </c>
      <c r="AL18" s="480"/>
      <c r="AM18" s="224">
        <f t="shared" si="8"/>
        <v>3.3240909394947331E-2</v>
      </c>
      <c r="AN18" s="130">
        <f t="shared" si="8"/>
        <v>1.5783907594941748E-2</v>
      </c>
      <c r="AO18" s="56">
        <v>0</v>
      </c>
      <c r="AP18" s="56">
        <v>27</v>
      </c>
      <c r="AQ18" s="57">
        <f t="shared" si="19"/>
        <v>1.4246104026405998E-2</v>
      </c>
      <c r="AR18" s="222">
        <f>10/C18*2</f>
        <v>1.7587782748649378E-2</v>
      </c>
      <c r="AS18" s="455"/>
      <c r="AT18" s="24">
        <f t="shared" si="20"/>
        <v>0.36867647781029589</v>
      </c>
      <c r="AU18" s="458"/>
      <c r="AV18" s="25">
        <f t="shared" si="21"/>
        <v>0.41584008364575348</v>
      </c>
      <c r="AW18" s="58">
        <v>0.8</v>
      </c>
      <c r="AX18" s="133">
        <v>1</v>
      </c>
      <c r="AY18" s="109">
        <f t="shared" si="22"/>
        <v>0.8</v>
      </c>
      <c r="AZ18" s="27">
        <f t="shared" si="23"/>
        <v>0.73595969306241937</v>
      </c>
      <c r="BA18" s="28">
        <f t="shared" si="9"/>
        <v>0.82267061616721571</v>
      </c>
      <c r="BB18" s="29">
        <v>0.3</v>
      </c>
      <c r="BC18" s="30">
        <v>0.4</v>
      </c>
      <c r="BD18" s="31">
        <v>0.3</v>
      </c>
      <c r="BE18" s="110">
        <f t="shared" si="10"/>
        <v>1</v>
      </c>
      <c r="BF18" s="33">
        <v>1.6</v>
      </c>
      <c r="BG18" s="460"/>
      <c r="BH18" s="59">
        <v>1</v>
      </c>
      <c r="BI18" s="458"/>
      <c r="BJ18" s="32">
        <f t="shared" si="11"/>
        <v>1.0658316429929617</v>
      </c>
      <c r="BK18" s="60">
        <v>17.600000000000001</v>
      </c>
      <c r="BL18" s="60">
        <v>66.900000000000006</v>
      </c>
      <c r="BM18" s="36">
        <v>6.4</v>
      </c>
      <c r="BN18" s="36">
        <v>6.4</v>
      </c>
      <c r="BO18" s="38">
        <f t="shared" si="24"/>
        <v>0.32742155525238742</v>
      </c>
      <c r="BP18" s="61"/>
      <c r="BQ18" s="62"/>
      <c r="BR18" s="23">
        <f t="shared" si="12"/>
        <v>1137.1530047774704</v>
      </c>
      <c r="BS18" s="23">
        <f t="shared" si="13"/>
        <v>1</v>
      </c>
      <c r="BT18" s="63">
        <f t="shared" si="25"/>
        <v>0.81797595947360469</v>
      </c>
      <c r="BU18" s="42">
        <v>0.3</v>
      </c>
      <c r="BV18" s="43">
        <v>0.4</v>
      </c>
      <c r="BW18" s="43">
        <v>0.3</v>
      </c>
      <c r="BX18" s="64">
        <f t="shared" si="26"/>
        <v>1</v>
      </c>
      <c r="BY18" s="65">
        <v>1</v>
      </c>
      <c r="BZ18" s="46">
        <f t="shared" si="14"/>
        <v>1.177820749006486</v>
      </c>
      <c r="CA18" s="47">
        <f t="shared" si="15"/>
        <v>0.68631126067602388</v>
      </c>
      <c r="CB18" s="66">
        <f>219+127</f>
        <v>346</v>
      </c>
      <c r="CC18" s="49">
        <f t="shared" si="31"/>
        <v>1.0915653326247547</v>
      </c>
      <c r="CD18" s="67">
        <f t="shared" si="27"/>
        <v>0.95534032875978181</v>
      </c>
      <c r="CE18" s="51">
        <f t="shared" si="28"/>
        <v>0.89459824940779031</v>
      </c>
      <c r="CF18" s="464"/>
      <c r="CG18" s="467"/>
      <c r="CH18" s="52">
        <v>862</v>
      </c>
      <c r="CI18" s="135">
        <f t="shared" si="29"/>
        <v>356.41794084306639</v>
      </c>
      <c r="CJ18" s="139">
        <v>373</v>
      </c>
      <c r="CK18" s="147">
        <f t="shared" si="30"/>
        <v>-16.58205915693361</v>
      </c>
      <c r="CL18" s="143" t="s">
        <v>89</v>
      </c>
      <c r="CM18" s="234"/>
    </row>
    <row r="19" spans="1:176" ht="17.25" customHeight="1">
      <c r="A19" s="53">
        <v>14</v>
      </c>
      <c r="B19" s="197" t="s">
        <v>90</v>
      </c>
      <c r="C19" s="201">
        <v>1100.8608876037215</v>
      </c>
      <c r="D19" s="432"/>
      <c r="E19" s="432"/>
      <c r="F19" s="429"/>
      <c r="G19" s="55">
        <f t="shared" si="16"/>
        <v>1100.8608876037215</v>
      </c>
      <c r="H19" s="115">
        <v>0</v>
      </c>
      <c r="I19" s="202">
        <f t="shared" si="17"/>
        <v>1100.8608876037215</v>
      </c>
      <c r="J19" s="20">
        <f t="shared" si="0"/>
        <v>1100.8608876037215</v>
      </c>
      <c r="K19" s="215">
        <f t="shared" si="1"/>
        <v>0.22398009058721802</v>
      </c>
      <c r="L19" s="209">
        <f t="shared" si="1"/>
        <v>0.19210869361762381</v>
      </c>
      <c r="M19" s="115">
        <v>249</v>
      </c>
      <c r="N19" s="115">
        <v>233</v>
      </c>
      <c r="O19" s="210">
        <f t="shared" si="18"/>
        <v>0.21746616915522313</v>
      </c>
      <c r="P19" s="128">
        <f>101/C19*2</f>
        <v>0.18349275759964526</v>
      </c>
      <c r="Q19" s="449"/>
      <c r="R19" s="224">
        <f t="shared" si="2"/>
        <v>0</v>
      </c>
      <c r="S19" s="130">
        <f t="shared" si="2"/>
        <v>0</v>
      </c>
      <c r="T19" s="56"/>
      <c r="U19" s="56"/>
      <c r="V19" s="132">
        <f t="shared" si="3"/>
        <v>0</v>
      </c>
      <c r="W19" s="222">
        <v>0</v>
      </c>
      <c r="X19" s="451"/>
      <c r="Y19" s="224">
        <f t="shared" si="4"/>
        <v>5.3819378606308318E-4</v>
      </c>
      <c r="Z19" s="130">
        <f t="shared" si="4"/>
        <v>1.9940048519642687E-4</v>
      </c>
      <c r="AA19" s="56">
        <v>10</v>
      </c>
      <c r="AB19" s="56">
        <v>5</v>
      </c>
      <c r="AC19" s="130">
        <f t="shared" si="5"/>
        <v>6.3586599168193904E-3</v>
      </c>
      <c r="AD19" s="222">
        <f>0.3/J19*2</f>
        <v>5.4502799287023342E-4</v>
      </c>
      <c r="AE19" s="449"/>
      <c r="AF19" s="224">
        <f t="shared" si="6"/>
        <v>2.931535841813486E-2</v>
      </c>
      <c r="AG19" s="130">
        <f t="shared" si="6"/>
        <v>3.5419040261304616E-2</v>
      </c>
      <c r="AH19" s="56">
        <v>7</v>
      </c>
      <c r="AI19" s="56">
        <v>46</v>
      </c>
      <c r="AJ19" s="57">
        <f t="shared" si="7"/>
        <v>2.7614751638758494E-2</v>
      </c>
      <c r="AK19" s="222">
        <f>29/C19*2</f>
        <v>5.2686039310789232E-2</v>
      </c>
      <c r="AL19" s="480"/>
      <c r="AM19" s="224">
        <f t="shared" si="8"/>
        <v>2.0347711733822046E-2</v>
      </c>
      <c r="AN19" s="130">
        <f t="shared" si="8"/>
        <v>8.1521280984863977E-3</v>
      </c>
      <c r="AO19" s="56">
        <v>0</v>
      </c>
      <c r="AP19" s="56">
        <v>16</v>
      </c>
      <c r="AQ19" s="57">
        <f t="shared" si="19"/>
        <v>8.7204478859237346E-3</v>
      </c>
      <c r="AR19" s="222">
        <f>5/C19*2</f>
        <v>9.0837998811705584E-3</v>
      </c>
      <c r="AS19" s="455"/>
      <c r="AT19" s="24">
        <f t="shared" si="20"/>
        <v>0.27418135452523801</v>
      </c>
      <c r="AU19" s="458"/>
      <c r="AV19" s="25">
        <f t="shared" si="21"/>
        <v>0.23587926246261123</v>
      </c>
      <c r="AW19" s="58">
        <v>0.8</v>
      </c>
      <c r="AX19" s="134">
        <v>1</v>
      </c>
      <c r="AY19" s="109">
        <f t="shared" si="22"/>
        <v>0.8</v>
      </c>
      <c r="AZ19" s="27">
        <f t="shared" si="23"/>
        <v>0.51876195254363877</v>
      </c>
      <c r="BA19" s="28">
        <f t="shared" si="9"/>
        <v>0.58802640960802655</v>
      </c>
      <c r="BB19" s="29">
        <v>0.3</v>
      </c>
      <c r="BC19" s="30">
        <v>0.4</v>
      </c>
      <c r="BD19" s="31">
        <v>0.3</v>
      </c>
      <c r="BE19" s="110">
        <f t="shared" si="10"/>
        <v>1</v>
      </c>
      <c r="BF19" s="33">
        <v>1.6</v>
      </c>
      <c r="BG19" s="460"/>
      <c r="BH19" s="59">
        <v>1</v>
      </c>
      <c r="BI19" s="458"/>
      <c r="BJ19" s="32">
        <f t="shared" si="11"/>
        <v>1.0658316429929617</v>
      </c>
      <c r="BK19" s="60">
        <v>17</v>
      </c>
      <c r="BL19" s="60">
        <v>66.900000000000006</v>
      </c>
      <c r="BM19" s="36">
        <v>6.4</v>
      </c>
      <c r="BN19" s="36">
        <v>6.4</v>
      </c>
      <c r="BO19" s="38">
        <f t="shared" si="24"/>
        <v>0.31923601637107768</v>
      </c>
      <c r="BP19" s="61"/>
      <c r="BQ19" s="62"/>
      <c r="BR19" s="23">
        <f t="shared" si="12"/>
        <v>1100.8608876037215</v>
      </c>
      <c r="BS19" s="23">
        <f t="shared" si="13"/>
        <v>1</v>
      </c>
      <c r="BT19" s="63">
        <f t="shared" si="25"/>
        <v>0.81552029780921176</v>
      </c>
      <c r="BU19" s="42">
        <v>0.3</v>
      </c>
      <c r="BV19" s="43">
        <v>0.4</v>
      </c>
      <c r="BW19" s="43">
        <v>0.3</v>
      </c>
      <c r="BX19" s="64">
        <f t="shared" si="26"/>
        <v>1</v>
      </c>
      <c r="BY19" s="65">
        <v>1</v>
      </c>
      <c r="BZ19" s="46">
        <f t="shared" si="14"/>
        <v>1.190276378094612</v>
      </c>
      <c r="CA19" s="47">
        <f t="shared" si="15"/>
        <v>0.68631126067602388</v>
      </c>
      <c r="CB19" s="66">
        <f>1+66+1+102+91+12</f>
        <v>273</v>
      </c>
      <c r="CC19" s="49">
        <f t="shared" si="31"/>
        <v>1.0444628549552535</v>
      </c>
      <c r="CD19" s="67">
        <f t="shared" si="27"/>
        <v>0.94494627418536914</v>
      </c>
      <c r="CE19" s="51">
        <f t="shared" si="28"/>
        <v>0.88220859483070013</v>
      </c>
      <c r="CF19" s="464"/>
      <c r="CG19" s="467"/>
      <c r="CH19" s="52">
        <v>926</v>
      </c>
      <c r="CI19" s="135">
        <f t="shared" si="29"/>
        <v>354.27483971307538</v>
      </c>
      <c r="CJ19" s="139">
        <v>399</v>
      </c>
      <c r="CK19" s="147">
        <f t="shared" si="30"/>
        <v>-44.72516028692462</v>
      </c>
      <c r="CL19" s="143" t="s">
        <v>90</v>
      </c>
      <c r="CM19" s="234"/>
    </row>
    <row r="20" spans="1:176" ht="15.75" thickBot="1">
      <c r="A20" s="150">
        <v>15</v>
      </c>
      <c r="B20" s="198" t="s">
        <v>91</v>
      </c>
      <c r="C20" s="203">
        <v>552.0800854915766</v>
      </c>
      <c r="D20" s="433"/>
      <c r="E20" s="433"/>
      <c r="F20" s="430"/>
      <c r="G20" s="204">
        <f t="shared" si="16"/>
        <v>552.0800854915766</v>
      </c>
      <c r="H20" s="69">
        <v>0</v>
      </c>
      <c r="I20" s="205">
        <f t="shared" si="17"/>
        <v>552.0800854915766</v>
      </c>
      <c r="J20" s="151">
        <f t="shared" si="0"/>
        <v>552.0800854915766</v>
      </c>
      <c r="K20" s="216">
        <f t="shared" si="1"/>
        <v>0.11865136692252223</v>
      </c>
      <c r="L20" s="217">
        <f t="shared" si="1"/>
        <v>0.11378296850888017</v>
      </c>
      <c r="M20" s="69">
        <v>69</v>
      </c>
      <c r="N20" s="69">
        <v>60</v>
      </c>
      <c r="O20" s="218">
        <f t="shared" si="18"/>
        <v>0.11520067771212947</v>
      </c>
      <c r="P20" s="152">
        <f>30/C20*2</f>
        <v>0.1086798846340844</v>
      </c>
      <c r="Q20" s="449"/>
      <c r="R20" s="225">
        <f t="shared" si="2"/>
        <v>0</v>
      </c>
      <c r="S20" s="161">
        <f t="shared" si="2"/>
        <v>0</v>
      </c>
      <c r="T20" s="158"/>
      <c r="U20" s="158"/>
      <c r="V20" s="159">
        <f t="shared" si="3"/>
        <v>0</v>
      </c>
      <c r="W20" s="226">
        <v>0</v>
      </c>
      <c r="X20" s="451"/>
      <c r="Y20" s="225">
        <f t="shared" si="4"/>
        <v>1.8397221850283884E-4</v>
      </c>
      <c r="Z20" s="161">
        <f t="shared" si="4"/>
        <v>6.6268222337856353E-4</v>
      </c>
      <c r="AA20" s="158">
        <v>3</v>
      </c>
      <c r="AB20" s="158">
        <v>0</v>
      </c>
      <c r="AC20" s="161">
        <f t="shared" si="5"/>
        <v>2.1735976926816883E-3</v>
      </c>
      <c r="AD20" s="226">
        <f>0.5/J20*2</f>
        <v>1.8113314105680735E-3</v>
      </c>
      <c r="AE20" s="449"/>
      <c r="AF20" s="225">
        <f t="shared" si="6"/>
        <v>3.1150641852337929E-2</v>
      </c>
      <c r="AG20" s="161">
        <f t="shared" si="6"/>
        <v>2.6789329050503172E-2</v>
      </c>
      <c r="AH20" s="158">
        <v>12</v>
      </c>
      <c r="AI20" s="158">
        <v>19</v>
      </c>
      <c r="AJ20" s="162">
        <f t="shared" si="7"/>
        <v>2.9343568851202796E-2</v>
      </c>
      <c r="AK20" s="226">
        <f>11/C20*2</f>
        <v>3.9849291032497618E-2</v>
      </c>
      <c r="AL20" s="480"/>
      <c r="AM20" s="225">
        <f t="shared" si="8"/>
        <v>0</v>
      </c>
      <c r="AN20" s="161">
        <f t="shared" si="8"/>
        <v>0</v>
      </c>
      <c r="AO20" s="158">
        <v>0</v>
      </c>
      <c r="AP20" s="158">
        <v>0</v>
      </c>
      <c r="AQ20" s="162">
        <f t="shared" si="19"/>
        <v>0</v>
      </c>
      <c r="AR20" s="226">
        <v>0</v>
      </c>
      <c r="AS20" s="455"/>
      <c r="AT20" s="24">
        <f t="shared" si="20"/>
        <v>0.14998598099336302</v>
      </c>
      <c r="AU20" s="458"/>
      <c r="AV20" s="165">
        <f t="shared" si="21"/>
        <v>0.14123497978276189</v>
      </c>
      <c r="AW20" s="166">
        <v>0.8</v>
      </c>
      <c r="AX20" s="167">
        <v>1</v>
      </c>
      <c r="AY20" s="168">
        <f t="shared" si="22"/>
        <v>0.8</v>
      </c>
      <c r="AZ20" s="169">
        <f t="shared" si="23"/>
        <v>0.28852923969479288</v>
      </c>
      <c r="BA20" s="170">
        <f t="shared" si="9"/>
        <v>0.25632970668178123</v>
      </c>
      <c r="BB20" s="171">
        <v>0.3</v>
      </c>
      <c r="BC20" s="172">
        <v>0.4</v>
      </c>
      <c r="BD20" s="173">
        <v>0.3</v>
      </c>
      <c r="BE20" s="174">
        <f t="shared" si="10"/>
        <v>1</v>
      </c>
      <c r="BF20" s="175">
        <v>1.6</v>
      </c>
      <c r="BG20" s="460"/>
      <c r="BH20" s="59">
        <v>1</v>
      </c>
      <c r="BI20" s="458"/>
      <c r="BJ20" s="182">
        <f t="shared" si="11"/>
        <v>1.0658316429929617</v>
      </c>
      <c r="BK20" s="183">
        <v>15.9</v>
      </c>
      <c r="BL20" s="183">
        <v>66.900000000000006</v>
      </c>
      <c r="BM20" s="184">
        <v>6.4</v>
      </c>
      <c r="BN20" s="184">
        <v>6.4</v>
      </c>
      <c r="BO20" s="70">
        <f t="shared" si="24"/>
        <v>0.30422919508867663</v>
      </c>
      <c r="BP20" s="71"/>
      <c r="BQ20" s="72"/>
      <c r="BR20" s="73">
        <f t="shared" si="12"/>
        <v>552.0800854915766</v>
      </c>
      <c r="BS20" s="73">
        <f t="shared" si="13"/>
        <v>1</v>
      </c>
      <c r="BT20" s="74">
        <f t="shared" si="25"/>
        <v>0.81101825142449147</v>
      </c>
      <c r="BU20" s="185">
        <v>0.3</v>
      </c>
      <c r="BV20" s="186">
        <v>0.4</v>
      </c>
      <c r="BW20" s="186">
        <v>0.3</v>
      </c>
      <c r="BX20" s="187">
        <f t="shared" si="26"/>
        <v>1</v>
      </c>
      <c r="BY20" s="188">
        <v>1</v>
      </c>
      <c r="BZ20" s="189">
        <f t="shared" si="14"/>
        <v>1.578220427236467</v>
      </c>
      <c r="CA20" s="75">
        <f t="shared" si="15"/>
        <v>0.68631126067602388</v>
      </c>
      <c r="CB20" s="76">
        <f>434+23+12</f>
        <v>469</v>
      </c>
      <c r="CC20" s="190">
        <f t="shared" si="31"/>
        <v>1.5478911102810951</v>
      </c>
      <c r="CD20" s="191">
        <f t="shared" si="27"/>
        <v>1.2123579655256782</v>
      </c>
      <c r="CE20" s="77">
        <f t="shared" si="28"/>
        <v>1.1256176407714833</v>
      </c>
      <c r="CF20" s="464"/>
      <c r="CG20" s="467"/>
      <c r="CH20" s="136">
        <v>665</v>
      </c>
      <c r="CI20" s="137">
        <f t="shared" si="29"/>
        <v>260.1050768924905</v>
      </c>
      <c r="CJ20" s="140">
        <v>232</v>
      </c>
      <c r="CK20" s="148">
        <f t="shared" si="30"/>
        <v>28.105076892490501</v>
      </c>
      <c r="CL20" s="144" t="s">
        <v>91</v>
      </c>
      <c r="CM20" s="234"/>
    </row>
    <row r="21" spans="1:176" s="103" customFormat="1" ht="15.75" thickBot="1">
      <c r="A21" s="78"/>
      <c r="B21" s="79"/>
      <c r="C21" s="206">
        <f>SUM(C6:C20)</f>
        <v>17495.000000000004</v>
      </c>
      <c r="D21" s="81">
        <f>SUM(D6:D20)</f>
        <v>0</v>
      </c>
      <c r="E21" s="81">
        <f>SUM(E6:E20)</f>
        <v>32223</v>
      </c>
      <c r="F21" s="82">
        <v>1</v>
      </c>
      <c r="G21" s="83">
        <f>SUM(G6:G20)</f>
        <v>17495.000000000004</v>
      </c>
      <c r="H21" s="83">
        <f>SUM(H6:H20)</f>
        <v>14728</v>
      </c>
      <c r="I21" s="84">
        <f>SUM(I6:I20)</f>
        <v>32222.999999999993</v>
      </c>
      <c r="J21" s="207">
        <f>SUM(J6:J20)</f>
        <v>32222.999999999993</v>
      </c>
      <c r="K21" s="85">
        <f t="shared" si="1"/>
        <v>0.37988393383607988</v>
      </c>
      <c r="L21" s="219">
        <f t="shared" si="1"/>
        <v>0.37988393383607988</v>
      </c>
      <c r="M21" s="83">
        <f>SUM(M6:M20)</f>
        <v>12263</v>
      </c>
      <c r="N21" s="83">
        <f>SUM(N6:N20)</f>
        <v>11633</v>
      </c>
      <c r="O21" s="127">
        <f t="shared" ref="O21" si="32">(M21*0.4+N21*0.6)/J21</f>
        <v>0.36883592465009474</v>
      </c>
      <c r="P21" s="153">
        <f>5846/J21*2</f>
        <v>0.36284641405207468</v>
      </c>
      <c r="Q21" s="450"/>
      <c r="R21" s="160">
        <f t="shared" si="2"/>
        <v>0</v>
      </c>
      <c r="S21" s="220">
        <f t="shared" si="2"/>
        <v>0</v>
      </c>
      <c r="T21" s="86">
        <f>SUM(T6:T20)</f>
        <v>127</v>
      </c>
      <c r="U21" s="86">
        <f>SUM(U6:U20)</f>
        <v>31</v>
      </c>
      <c r="V21" s="86">
        <f t="shared" si="3"/>
        <v>2.153741116593738E-3</v>
      </c>
      <c r="W21" s="221">
        <f>104/J21*2</f>
        <v>6.4550166030475139E-3</v>
      </c>
      <c r="X21" s="452"/>
      <c r="Y21" s="160">
        <f t="shared" si="4"/>
        <v>5.0274648542966219E-3</v>
      </c>
      <c r="Z21" s="220">
        <f t="shared" si="4"/>
        <v>5.0274648542966219E-3</v>
      </c>
      <c r="AA21" s="86">
        <f>SUM(AA6:AA20)</f>
        <v>681</v>
      </c>
      <c r="AB21" s="86">
        <f>SUM(AB6:AB20)</f>
        <v>2736</v>
      </c>
      <c r="AC21" s="86">
        <f t="shared" si="5"/>
        <v>5.9398566241504532E-2</v>
      </c>
      <c r="AD21" s="87">
        <f>221.4/J21*2</f>
        <v>1.3741737268410766E-2</v>
      </c>
      <c r="AE21" s="450"/>
      <c r="AF21" s="160">
        <f t="shared" si="6"/>
        <v>0.12667970083480745</v>
      </c>
      <c r="AG21" s="220">
        <f t="shared" si="6"/>
        <v>0.12667970083480745</v>
      </c>
      <c r="AH21" s="86">
        <f>SUM(AH6:AH20)</f>
        <v>3124</v>
      </c>
      <c r="AI21" s="86">
        <f>SUM(AI6:AI20)</f>
        <v>4326</v>
      </c>
      <c r="AJ21" s="86">
        <f t="shared" si="7"/>
        <v>0.11933091270210722</v>
      </c>
      <c r="AK21" s="221">
        <f>3036/J21*2</f>
        <v>0.18843683083511781</v>
      </c>
      <c r="AL21" s="481"/>
      <c r="AM21" s="163">
        <f t="shared" si="8"/>
        <v>2.1723613567948366E-3</v>
      </c>
      <c r="AN21" s="94">
        <f t="shared" si="8"/>
        <v>2.1723613567948366E-3</v>
      </c>
      <c r="AO21" s="86">
        <f>SUM(AO6:AO20)</f>
        <v>0</v>
      </c>
      <c r="AP21" s="86">
        <f>SUM(AP6:AP20)</f>
        <v>50</v>
      </c>
      <c r="AQ21" s="86">
        <f t="shared" si="19"/>
        <v>9.3101201005492992E-4</v>
      </c>
      <c r="AR21" s="87">
        <f>39/J21*2</f>
        <v>2.4206312261428179E-3</v>
      </c>
      <c r="AS21" s="456"/>
      <c r="AT21" s="88">
        <f>K21+R21+Y21+AF21</f>
        <v>0.511591099525184</v>
      </c>
      <c r="AU21" s="459"/>
      <c r="AV21" s="163">
        <f t="shared" si="21"/>
        <v>0.51376346088197888</v>
      </c>
      <c r="AW21" s="78">
        <v>0.8</v>
      </c>
      <c r="AX21" s="78">
        <v>1</v>
      </c>
      <c r="AY21" s="90">
        <v>0.8</v>
      </c>
      <c r="AZ21" s="176">
        <f t="shared" si="23"/>
        <v>0.99661733615222003</v>
      </c>
      <c r="BA21" s="177">
        <f t="shared" si="9"/>
        <v>0.87056067388742875</v>
      </c>
      <c r="BB21" s="178">
        <v>0.3</v>
      </c>
      <c r="BC21" s="179">
        <v>0.4</v>
      </c>
      <c r="BD21" s="180">
        <v>0.3</v>
      </c>
      <c r="BE21" s="100">
        <v>1</v>
      </c>
      <c r="BF21" s="181">
        <v>1.6</v>
      </c>
      <c r="BG21" s="461"/>
      <c r="BH21" s="164">
        <v>1</v>
      </c>
      <c r="BI21" s="462"/>
      <c r="BJ21" s="192">
        <f t="shared" si="11"/>
        <v>1</v>
      </c>
      <c r="BK21" s="164">
        <f>SUM(BK6:BK20)/15</f>
        <v>23.270666666666667</v>
      </c>
      <c r="BL21" s="178">
        <v>66.900000000000006</v>
      </c>
      <c r="BM21" s="193">
        <v>6.4</v>
      </c>
      <c r="BN21" s="193">
        <v>6.4</v>
      </c>
      <c r="BO21" s="91">
        <f t="shared" si="24"/>
        <v>0.40478399272396542</v>
      </c>
      <c r="BP21" s="92"/>
      <c r="BQ21" s="93"/>
      <c r="BR21" s="94">
        <f t="shared" si="12"/>
        <v>32223.000000000004</v>
      </c>
      <c r="BS21" s="94">
        <f t="shared" si="13"/>
        <v>1</v>
      </c>
      <c r="BT21" s="95">
        <v>1</v>
      </c>
      <c r="BU21" s="194">
        <v>0.3</v>
      </c>
      <c r="BV21" s="195">
        <v>0.4</v>
      </c>
      <c r="BW21" s="195">
        <v>0.3</v>
      </c>
      <c r="BX21" s="96">
        <v>1</v>
      </c>
      <c r="BY21" s="97">
        <f>SUM(BY6:BY20)</f>
        <v>15</v>
      </c>
      <c r="BZ21" s="98">
        <v>1</v>
      </c>
      <c r="CA21" s="98">
        <f t="shared" si="15"/>
        <v>1</v>
      </c>
      <c r="CB21" s="99">
        <f>SUM(CB6:CB20)</f>
        <v>6279</v>
      </c>
      <c r="CC21" s="100">
        <f>+(CB21/BR21)/(SUM($CB$6:$CB$20)/SUM($BR$6:$BR$20))</f>
        <v>0.99999999999999956</v>
      </c>
      <c r="CD21" s="101">
        <f t="shared" si="27"/>
        <v>0.99999999999999978</v>
      </c>
      <c r="CE21" s="176">
        <f t="shared" si="28"/>
        <v>1.1447993988769261</v>
      </c>
      <c r="CF21" s="465"/>
      <c r="CG21" s="468"/>
      <c r="CH21" s="196">
        <f>SUM(CH6:CH20)</f>
        <v>26663</v>
      </c>
      <c r="CI21" s="89">
        <f>SUM(CI6:CI20)</f>
        <v>9000</v>
      </c>
      <c r="CJ21" s="141">
        <f>SUM(CJ6:CJ20)</f>
        <v>10000</v>
      </c>
      <c r="CK21" s="149"/>
      <c r="CL21" s="145"/>
      <c r="CM21" s="235"/>
      <c r="CN21" s="102"/>
      <c r="CO21" s="102"/>
      <c r="CP21" s="102"/>
      <c r="CQ21" s="102"/>
      <c r="CR21" s="102"/>
      <c r="CS21" s="102"/>
      <c r="CT21" s="102"/>
      <c r="CU21" s="102"/>
      <c r="CV21" s="102"/>
      <c r="CW21" s="102"/>
      <c r="CX21" s="102"/>
      <c r="CY21" s="102"/>
      <c r="CZ21" s="102"/>
      <c r="DA21" s="102"/>
      <c r="DB21" s="102"/>
      <c r="DC21" s="102"/>
      <c r="DD21" s="102"/>
      <c r="DE21" s="102"/>
      <c r="DF21" s="102"/>
      <c r="DG21" s="102"/>
      <c r="DH21" s="102"/>
      <c r="DI21" s="102"/>
      <c r="DJ21" s="102"/>
      <c r="DK21" s="102"/>
      <c r="DL21" s="102"/>
      <c r="DM21" s="102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</row>
    <row r="22" spans="1:176">
      <c r="C22" s="453" t="s">
        <v>92</v>
      </c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453"/>
      <c r="P22" s="453"/>
      <c r="Q22" s="453"/>
      <c r="R22" s="453"/>
      <c r="S22" s="453"/>
      <c r="T22" s="453"/>
      <c r="X22" s="7"/>
      <c r="AP22" s="104"/>
      <c r="AQ22" s="104"/>
      <c r="AR22" s="105"/>
      <c r="AZ22" s="1"/>
      <c r="BE22" s="104"/>
      <c r="BF22" s="6"/>
      <c r="BG22" s="6"/>
      <c r="BP22" s="6"/>
      <c r="BQ22" s="6"/>
      <c r="BR22" s="6"/>
      <c r="BS22" s="6"/>
      <c r="CE22" s="1"/>
      <c r="CI22" s="106"/>
    </row>
    <row r="23" spans="1:176">
      <c r="C23" s="453" t="s">
        <v>93</v>
      </c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3"/>
      <c r="R23" s="453"/>
      <c r="S23" s="453"/>
      <c r="T23" s="453"/>
      <c r="AZ23" s="1"/>
      <c r="BF23" s="6"/>
      <c r="BG23" s="6"/>
      <c r="BP23" s="6"/>
      <c r="BQ23" s="6"/>
      <c r="BR23" s="6"/>
      <c r="BS23" s="6"/>
      <c r="CE23" s="1"/>
      <c r="CI23" s="1"/>
    </row>
    <row r="24" spans="1:176" ht="14.25">
      <c r="C24" s="6" t="s">
        <v>94</v>
      </c>
      <c r="R24" s="7"/>
      <c r="S24" s="7"/>
      <c r="X24" s="107"/>
      <c r="AZ24" s="1"/>
      <c r="BF24" s="6"/>
      <c r="BG24" s="6"/>
      <c r="BP24" s="6"/>
      <c r="BQ24" s="6"/>
      <c r="BR24" s="6"/>
      <c r="BS24" s="6"/>
      <c r="CE24" s="1"/>
      <c r="CI24" s="1"/>
    </row>
    <row r="25" spans="1:176">
      <c r="AZ25" s="1"/>
      <c r="BF25" s="6"/>
      <c r="BG25" s="6"/>
      <c r="BP25" s="6"/>
      <c r="BQ25" s="6"/>
      <c r="BR25" s="6"/>
      <c r="BS25" s="6"/>
      <c r="CE25" s="1"/>
      <c r="CI25" s="1"/>
    </row>
    <row r="26" spans="1:176">
      <c r="AZ26" s="1"/>
      <c r="BF26" s="6"/>
      <c r="BG26" s="6"/>
      <c r="BP26" s="6"/>
      <c r="BQ26" s="6"/>
      <c r="BR26" s="6"/>
      <c r="BS26" s="6"/>
      <c r="CE26" s="1"/>
      <c r="CI26" s="1"/>
    </row>
    <row r="27" spans="1:176">
      <c r="AZ27" s="1"/>
      <c r="BF27" s="6"/>
      <c r="BG27" s="6"/>
      <c r="BP27" s="6"/>
      <c r="BQ27" s="6"/>
      <c r="BR27" s="6"/>
      <c r="BS27" s="6"/>
      <c r="CE27" s="1"/>
      <c r="CI27" s="1"/>
    </row>
    <row r="28" spans="1:176">
      <c r="AZ28" s="1"/>
      <c r="BF28" s="6"/>
      <c r="BG28" s="6"/>
      <c r="BP28" s="6"/>
      <c r="BQ28" s="6"/>
      <c r="BR28" s="6"/>
      <c r="BS28" s="6"/>
      <c r="CE28" s="1"/>
      <c r="CI28" s="1"/>
    </row>
    <row r="29" spans="1:176" ht="13.5" thickBot="1">
      <c r="AZ29" s="1"/>
      <c r="BF29" s="6"/>
      <c r="BG29" s="6"/>
      <c r="BP29" s="6"/>
      <c r="BQ29" s="6"/>
      <c r="BR29" s="6"/>
      <c r="BS29" s="6"/>
      <c r="CE29" s="1"/>
      <c r="CI29" s="1"/>
    </row>
    <row r="30" spans="1:176" ht="15">
      <c r="B30" s="16" t="s">
        <v>77</v>
      </c>
      <c r="C30" s="17">
        <v>1062</v>
      </c>
      <c r="E30" s="117">
        <f>+C30*E48</f>
        <v>1167.9463163188334</v>
      </c>
      <c r="G30" s="117"/>
      <c r="AZ30" s="1"/>
      <c r="BF30" s="6"/>
      <c r="BG30" s="6"/>
      <c r="BP30" s="6"/>
      <c r="BQ30" s="6"/>
      <c r="BR30" s="6"/>
      <c r="BS30" s="6"/>
      <c r="CE30" s="1"/>
      <c r="CI30" s="1"/>
    </row>
    <row r="31" spans="1:176" ht="15">
      <c r="B31" s="16" t="s">
        <v>78</v>
      </c>
      <c r="C31" s="54">
        <v>1199</v>
      </c>
      <c r="E31" s="117">
        <f>+C31*E48</f>
        <v>1318.6135906462159</v>
      </c>
      <c r="G31" s="117"/>
      <c r="AZ31" s="1"/>
      <c r="BF31" s="6"/>
      <c r="BG31" s="6"/>
      <c r="BP31" s="6"/>
      <c r="BQ31" s="6"/>
      <c r="BR31" s="6"/>
      <c r="BS31" s="6"/>
      <c r="CE31" s="1"/>
      <c r="CI31" s="1"/>
    </row>
    <row r="32" spans="1:176" ht="15">
      <c r="B32" s="16" t="s">
        <v>79</v>
      </c>
      <c r="C32" s="54">
        <v>1233</v>
      </c>
      <c r="E32" s="6">
        <f>+C32*E48</f>
        <v>1356.0054689464421</v>
      </c>
      <c r="G32" s="117"/>
      <c r="AZ32" s="1"/>
      <c r="BF32" s="6"/>
      <c r="BG32" s="6"/>
      <c r="BP32" s="6"/>
      <c r="BQ32" s="6"/>
      <c r="BR32" s="6"/>
      <c r="BS32" s="6"/>
      <c r="CE32" s="1"/>
      <c r="CI32" s="1"/>
    </row>
    <row r="33" spans="2:87" ht="15">
      <c r="B33" s="16" t="s">
        <v>80</v>
      </c>
      <c r="C33" s="54">
        <v>1078</v>
      </c>
      <c r="E33" s="117">
        <f>+C33*$E$48</f>
        <v>1185.5424943424694</v>
      </c>
      <c r="G33" s="117"/>
      <c r="AZ33" s="1"/>
      <c r="BF33" s="6"/>
      <c r="BG33" s="6"/>
      <c r="BP33" s="6"/>
      <c r="BQ33" s="6"/>
      <c r="BR33" s="6"/>
      <c r="BS33" s="6"/>
      <c r="CE33" s="1"/>
      <c r="CI33" s="1"/>
    </row>
    <row r="34" spans="2:87" ht="15">
      <c r="B34" s="16" t="s">
        <v>81</v>
      </c>
      <c r="C34" s="54">
        <v>9</v>
      </c>
      <c r="E34" s="117">
        <f t="shared" ref="E34:E44" si="33">+C34*$E$48</f>
        <v>9.8978501382951976</v>
      </c>
      <c r="G34" s="117"/>
      <c r="AZ34" s="1"/>
      <c r="BF34" s="6"/>
      <c r="BG34" s="6"/>
      <c r="BP34" s="6"/>
      <c r="BQ34" s="6"/>
      <c r="BR34" s="6"/>
      <c r="BS34" s="6"/>
      <c r="CE34" s="1"/>
      <c r="CI34" s="1"/>
    </row>
    <row r="35" spans="2:87" ht="15">
      <c r="B35" s="16" t="s">
        <v>82</v>
      </c>
      <c r="C35" s="54">
        <v>1964</v>
      </c>
      <c r="E35" s="117">
        <f t="shared" si="33"/>
        <v>2159.9308524013077</v>
      </c>
      <c r="G35" s="117"/>
      <c r="AZ35" s="1"/>
      <c r="BF35" s="6"/>
      <c r="BG35" s="6"/>
      <c r="BP35" s="6"/>
      <c r="BQ35" s="6"/>
      <c r="BR35" s="6"/>
      <c r="BS35" s="6"/>
      <c r="CE35" s="1"/>
      <c r="CI35" s="1"/>
    </row>
    <row r="36" spans="2:87" ht="15">
      <c r="B36" s="16" t="s">
        <v>83</v>
      </c>
      <c r="C36" s="54">
        <v>1281</v>
      </c>
      <c r="E36" s="117">
        <f t="shared" si="33"/>
        <v>1408.79400301735</v>
      </c>
      <c r="G36" s="117"/>
      <c r="AZ36" s="1"/>
      <c r="BF36" s="6"/>
      <c r="BG36" s="6"/>
      <c r="BP36" s="6"/>
      <c r="BQ36" s="6"/>
      <c r="BR36" s="6"/>
      <c r="BS36" s="6"/>
      <c r="CE36" s="1"/>
      <c r="CI36" s="1"/>
    </row>
    <row r="37" spans="2:87" ht="30">
      <c r="B37" s="16" t="s">
        <v>84</v>
      </c>
      <c r="C37" s="54">
        <v>704</v>
      </c>
      <c r="E37" s="117">
        <f t="shared" si="33"/>
        <v>774.23183303997996</v>
      </c>
      <c r="G37" s="117"/>
      <c r="AZ37" s="1"/>
      <c r="BF37" s="6"/>
      <c r="BG37" s="6"/>
      <c r="BP37" s="6"/>
      <c r="BQ37" s="6"/>
      <c r="BR37" s="6"/>
      <c r="BS37" s="6"/>
      <c r="CE37" s="1"/>
      <c r="CI37" s="1"/>
    </row>
    <row r="38" spans="2:87" ht="15">
      <c r="B38" s="16" t="s">
        <v>85</v>
      </c>
      <c r="C38" s="54">
        <v>1093</v>
      </c>
      <c r="E38" s="117">
        <f t="shared" si="33"/>
        <v>1202.0389112396279</v>
      </c>
      <c r="G38" s="117"/>
      <c r="AZ38" s="1"/>
      <c r="BF38" s="6"/>
      <c r="BG38" s="6"/>
      <c r="BP38" s="6"/>
      <c r="BQ38" s="6"/>
      <c r="BR38" s="6"/>
      <c r="BS38" s="6"/>
      <c r="CE38" s="1"/>
      <c r="CI38" s="1"/>
    </row>
    <row r="39" spans="2:87" ht="15">
      <c r="B39" s="16" t="s">
        <v>86</v>
      </c>
      <c r="C39" s="54">
        <v>2126</v>
      </c>
      <c r="E39" s="117">
        <f t="shared" si="33"/>
        <v>2338.0921548906213</v>
      </c>
      <c r="G39" s="117"/>
      <c r="AZ39" s="1"/>
      <c r="BF39" s="6"/>
      <c r="BG39" s="6"/>
      <c r="BP39" s="6"/>
      <c r="BQ39" s="6"/>
      <c r="BR39" s="6"/>
      <c r="BS39" s="6"/>
      <c r="CE39" s="1"/>
      <c r="CI39" s="1"/>
    </row>
    <row r="40" spans="2:87" ht="15">
      <c r="B40" s="16" t="s">
        <v>87</v>
      </c>
      <c r="C40" s="54">
        <v>121</v>
      </c>
      <c r="E40" s="117">
        <f t="shared" si="33"/>
        <v>133.07109630374654</v>
      </c>
      <c r="G40" s="117"/>
      <c r="AZ40" s="1"/>
      <c r="BF40" s="6"/>
      <c r="BG40" s="6"/>
      <c r="BP40" s="6"/>
      <c r="BQ40" s="6"/>
      <c r="BR40" s="6"/>
      <c r="BS40" s="6"/>
      <c r="CE40" s="1"/>
      <c r="CI40" s="1"/>
    </row>
    <row r="41" spans="2:87" ht="15">
      <c r="B41" s="16" t="s">
        <v>88</v>
      </c>
      <c r="C41" s="54">
        <v>1501</v>
      </c>
      <c r="E41" s="117">
        <f t="shared" si="33"/>
        <v>1650.7414508423435</v>
      </c>
      <c r="G41" s="117"/>
      <c r="AZ41" s="1"/>
      <c r="BF41" s="6"/>
      <c r="BG41" s="6"/>
      <c r="BP41" s="6"/>
      <c r="BQ41" s="6"/>
      <c r="BR41" s="6"/>
      <c r="BS41" s="6"/>
      <c r="CE41" s="1"/>
      <c r="CI41" s="1"/>
    </row>
    <row r="42" spans="2:87" ht="15">
      <c r="B42" s="16" t="s">
        <v>89</v>
      </c>
      <c r="C42" s="54">
        <v>1034</v>
      </c>
      <c r="E42" s="117">
        <f t="shared" si="33"/>
        <v>1137.1530047774704</v>
      </c>
      <c r="G42" s="117"/>
      <c r="AZ42" s="1"/>
      <c r="BF42" s="6"/>
      <c r="BG42" s="6"/>
      <c r="BP42" s="6"/>
      <c r="BQ42" s="6"/>
      <c r="BR42" s="6"/>
      <c r="BS42" s="6"/>
      <c r="CE42" s="1"/>
      <c r="CI42" s="1"/>
    </row>
    <row r="43" spans="2:87" ht="15">
      <c r="B43" s="16" t="s">
        <v>90</v>
      </c>
      <c r="C43" s="54">
        <v>1001</v>
      </c>
      <c r="E43" s="117">
        <f t="shared" si="33"/>
        <v>1100.8608876037215</v>
      </c>
      <c r="G43" s="117"/>
      <c r="AZ43" s="1"/>
      <c r="BF43" s="6"/>
      <c r="BG43" s="6"/>
      <c r="BP43" s="6"/>
      <c r="BQ43" s="6"/>
      <c r="BR43" s="6"/>
      <c r="BS43" s="6"/>
      <c r="CE43" s="1"/>
      <c r="CI43" s="1"/>
    </row>
    <row r="44" spans="2:87" ht="15.75" thickBot="1">
      <c r="B44" s="16" t="s">
        <v>91</v>
      </c>
      <c r="C44" s="68">
        <v>502</v>
      </c>
      <c r="E44" s="117">
        <f t="shared" si="33"/>
        <v>552.0800854915766</v>
      </c>
      <c r="G44" s="117"/>
      <c r="AZ44" s="1"/>
      <c r="BF44" s="6"/>
      <c r="BG44" s="6"/>
      <c r="BP44" s="6"/>
      <c r="BQ44" s="6"/>
      <c r="BR44" s="6"/>
      <c r="BS44" s="6"/>
      <c r="CE44" s="1"/>
      <c r="CI44" s="1"/>
    </row>
    <row r="45" spans="2:87" ht="13.5" thickBot="1">
      <c r="C45" s="80">
        <f>SUM(C30:C44)</f>
        <v>15908</v>
      </c>
      <c r="E45" s="6">
        <f>SUM(E30:E44)</f>
        <v>17495.000000000004</v>
      </c>
      <c r="G45" s="117"/>
      <c r="AZ45" s="1"/>
      <c r="BF45" s="6"/>
      <c r="BG45" s="6"/>
      <c r="BP45" s="6"/>
      <c r="BQ45" s="6"/>
      <c r="BR45" s="6"/>
      <c r="BS45" s="6"/>
      <c r="CE45" s="1"/>
      <c r="CI45" s="1"/>
    </row>
    <row r="46" spans="2:87">
      <c r="AZ46" s="1"/>
      <c r="BF46" s="6"/>
      <c r="BG46" s="6"/>
      <c r="BP46" s="6"/>
      <c r="BQ46" s="6"/>
      <c r="BR46" s="6"/>
      <c r="BS46" s="6"/>
      <c r="CE46" s="1"/>
      <c r="CI46" s="1"/>
    </row>
    <row r="47" spans="2:87">
      <c r="B47" s="6">
        <v>32223</v>
      </c>
      <c r="E47" s="6">
        <v>17495</v>
      </c>
      <c r="AZ47" s="1"/>
      <c r="BF47" s="6"/>
      <c r="BG47" s="6"/>
      <c r="BP47" s="6"/>
      <c r="BQ47" s="6"/>
      <c r="BR47" s="6"/>
      <c r="BS47" s="6"/>
      <c r="CE47" s="1"/>
      <c r="CI47" s="1"/>
    </row>
    <row r="48" spans="2:87">
      <c r="E48" s="118">
        <f>+E47/C45</f>
        <v>1.0997611264772442</v>
      </c>
      <c r="AZ48" s="1"/>
      <c r="BF48" s="6"/>
      <c r="BG48" s="6"/>
      <c r="BP48" s="6"/>
      <c r="BQ48" s="6"/>
      <c r="BR48" s="6"/>
      <c r="BS48" s="6"/>
      <c r="CE48" s="1"/>
      <c r="CI48" s="1"/>
    </row>
    <row r="49" spans="52:87">
      <c r="AZ49" s="1"/>
      <c r="BF49" s="6"/>
      <c r="BG49" s="6"/>
      <c r="BP49" s="6"/>
      <c r="BQ49" s="6"/>
      <c r="BR49" s="6"/>
      <c r="BS49" s="6"/>
      <c r="CE49" s="1"/>
      <c r="CI49" s="1"/>
    </row>
    <row r="50" spans="52:87">
      <c r="AZ50" s="1"/>
      <c r="BF50" s="6"/>
      <c r="BG50" s="6"/>
      <c r="BP50" s="6"/>
      <c r="BQ50" s="6"/>
      <c r="BR50" s="6"/>
      <c r="BS50" s="6"/>
      <c r="CE50" s="1"/>
      <c r="CI50" s="1"/>
    </row>
    <row r="51" spans="52:87">
      <c r="AZ51" s="1"/>
      <c r="BF51" s="6"/>
      <c r="BG51" s="6"/>
      <c r="BP51" s="6"/>
      <c r="BQ51" s="6"/>
      <c r="BR51" s="6"/>
      <c r="BS51" s="6"/>
      <c r="CE51" s="1"/>
      <c r="CI51" s="1"/>
    </row>
    <row r="52" spans="52:87">
      <c r="AZ52" s="1"/>
      <c r="BF52" s="6"/>
      <c r="BG52" s="6"/>
      <c r="BP52" s="6"/>
      <c r="BQ52" s="6"/>
      <c r="BR52" s="6"/>
      <c r="BS52" s="6"/>
      <c r="CE52" s="1"/>
      <c r="CI52" s="1"/>
    </row>
    <row r="53" spans="52:87">
      <c r="AZ53" s="1"/>
      <c r="BF53" s="6"/>
      <c r="BG53" s="6"/>
      <c r="BP53" s="6"/>
      <c r="BQ53" s="6"/>
      <c r="BR53" s="6"/>
      <c r="BS53" s="6"/>
      <c r="CE53" s="1"/>
      <c r="CI53" s="1"/>
    </row>
    <row r="54" spans="52:87">
      <c r="AZ54" s="1"/>
      <c r="BF54" s="6"/>
      <c r="BG54" s="6"/>
      <c r="BP54" s="6"/>
      <c r="BQ54" s="6"/>
      <c r="BR54" s="6"/>
      <c r="BS54" s="6"/>
      <c r="CE54" s="1"/>
      <c r="CI54" s="1"/>
    </row>
    <row r="55" spans="52:87">
      <c r="AZ55" s="1"/>
      <c r="BF55" s="6"/>
      <c r="BG55" s="6"/>
      <c r="BP55" s="6"/>
      <c r="BQ55" s="6"/>
      <c r="BR55" s="6"/>
      <c r="BS55" s="6"/>
      <c r="CE55" s="1"/>
      <c r="CI55" s="1"/>
    </row>
    <row r="56" spans="52:87">
      <c r="AZ56" s="1"/>
      <c r="BF56" s="6"/>
      <c r="BG56" s="6"/>
      <c r="BP56" s="6"/>
      <c r="BQ56" s="6"/>
      <c r="BR56" s="6"/>
      <c r="BS56" s="6"/>
      <c r="CE56" s="1"/>
      <c r="CI56" s="1"/>
    </row>
    <row r="57" spans="52:87">
      <c r="AZ57" s="1"/>
      <c r="BF57" s="6"/>
      <c r="BG57" s="6"/>
      <c r="BP57" s="6"/>
      <c r="BQ57" s="6"/>
      <c r="BR57" s="6"/>
      <c r="BS57" s="6"/>
      <c r="CE57" s="1"/>
      <c r="CI57" s="1"/>
    </row>
    <row r="58" spans="52:87">
      <c r="AZ58" s="1"/>
      <c r="BF58" s="6"/>
      <c r="BG58" s="6"/>
      <c r="BP58" s="6"/>
      <c r="BQ58" s="6"/>
      <c r="BR58" s="6"/>
      <c r="BS58" s="6"/>
      <c r="CE58" s="1"/>
      <c r="CI58" s="1"/>
    </row>
    <row r="59" spans="52:87">
      <c r="AZ59" s="1"/>
      <c r="BF59" s="6"/>
      <c r="BG59" s="6"/>
      <c r="BP59" s="6"/>
      <c r="BQ59" s="6"/>
      <c r="BR59" s="6"/>
      <c r="BS59" s="6"/>
      <c r="CE59" s="1"/>
      <c r="CI59" s="1"/>
    </row>
    <row r="60" spans="52:87">
      <c r="AZ60" s="1"/>
      <c r="BF60" s="6"/>
      <c r="BG60" s="6"/>
      <c r="BP60" s="6"/>
      <c r="BQ60" s="6"/>
      <c r="BR60" s="6"/>
      <c r="BS60" s="6"/>
      <c r="CE60" s="1"/>
      <c r="CI60" s="1"/>
    </row>
    <row r="61" spans="52:87">
      <c r="AZ61" s="1"/>
      <c r="BF61" s="6"/>
      <c r="BG61" s="6"/>
      <c r="BP61" s="6"/>
      <c r="BQ61" s="6"/>
      <c r="BR61" s="6"/>
      <c r="BS61" s="6"/>
      <c r="CE61" s="1"/>
      <c r="CI61" s="1"/>
    </row>
    <row r="62" spans="52:87">
      <c r="AZ62" s="1"/>
      <c r="BF62" s="6"/>
      <c r="BG62" s="6"/>
      <c r="BP62" s="6"/>
      <c r="BQ62" s="6"/>
      <c r="BR62" s="6"/>
      <c r="BS62" s="6"/>
      <c r="CE62" s="1"/>
      <c r="CI62" s="1"/>
    </row>
    <row r="63" spans="52:87">
      <c r="AZ63" s="1"/>
      <c r="BF63" s="6"/>
      <c r="BG63" s="6"/>
      <c r="BP63" s="6"/>
      <c r="BQ63" s="6"/>
      <c r="BR63" s="6"/>
      <c r="BS63" s="6"/>
      <c r="CE63" s="1"/>
      <c r="CI63" s="1"/>
    </row>
    <row r="64" spans="52:87">
      <c r="AZ64" s="1"/>
      <c r="BF64" s="6"/>
      <c r="BG64" s="6"/>
      <c r="BP64" s="6"/>
      <c r="BQ64" s="6"/>
      <c r="BR64" s="6"/>
      <c r="BS64" s="6"/>
      <c r="CE64" s="1"/>
      <c r="CI64" s="1"/>
    </row>
    <row r="65" spans="52:87">
      <c r="AZ65" s="1"/>
      <c r="BF65" s="6"/>
      <c r="BG65" s="6"/>
      <c r="BP65" s="6"/>
      <c r="BQ65" s="6"/>
      <c r="BR65" s="6"/>
      <c r="BS65" s="6"/>
      <c r="CE65" s="1"/>
      <c r="CI65" s="1"/>
    </row>
    <row r="66" spans="52:87">
      <c r="AZ66" s="1"/>
      <c r="BF66" s="6"/>
      <c r="BG66" s="6"/>
      <c r="BP66" s="6"/>
      <c r="BQ66" s="6"/>
      <c r="BR66" s="6"/>
      <c r="BS66" s="6"/>
      <c r="CE66" s="1"/>
      <c r="CI66" s="1"/>
    </row>
    <row r="67" spans="52:87">
      <c r="AZ67" s="1"/>
      <c r="BF67" s="6"/>
      <c r="BG67" s="6"/>
      <c r="BP67" s="6"/>
      <c r="BQ67" s="6"/>
      <c r="BR67" s="6"/>
      <c r="BS67" s="6"/>
      <c r="CE67" s="1"/>
      <c r="CI67" s="1"/>
    </row>
    <row r="68" spans="52:87">
      <c r="AZ68" s="1"/>
      <c r="BF68" s="6"/>
      <c r="BG68" s="6"/>
      <c r="BP68" s="6"/>
      <c r="BQ68" s="6"/>
      <c r="BR68" s="6"/>
      <c r="BS68" s="6"/>
      <c r="CE68" s="1"/>
      <c r="CI68" s="1"/>
    </row>
    <row r="69" spans="52:87">
      <c r="AZ69" s="1"/>
      <c r="BF69" s="6"/>
      <c r="BG69" s="6"/>
      <c r="BP69" s="6"/>
      <c r="BQ69" s="6"/>
      <c r="BR69" s="6"/>
      <c r="BS69" s="6"/>
      <c r="CE69" s="1"/>
      <c r="CI69" s="1"/>
    </row>
    <row r="70" spans="52:87">
      <c r="AZ70" s="1"/>
      <c r="BF70" s="6"/>
      <c r="BG70" s="6"/>
      <c r="BP70" s="6"/>
      <c r="BQ70" s="6"/>
      <c r="BR70" s="6"/>
      <c r="BS70" s="6"/>
      <c r="CE70" s="1"/>
      <c r="CI70" s="1"/>
    </row>
    <row r="71" spans="52:87">
      <c r="AZ71" s="1"/>
      <c r="BF71" s="6"/>
      <c r="BG71" s="6"/>
      <c r="BP71" s="6"/>
      <c r="BQ71" s="6"/>
      <c r="BR71" s="6"/>
      <c r="BS71" s="6"/>
      <c r="CE71" s="1"/>
      <c r="CI71" s="1"/>
    </row>
    <row r="72" spans="52:87">
      <c r="AZ72" s="1"/>
      <c r="BF72" s="6"/>
      <c r="BG72" s="6"/>
      <c r="BP72" s="6"/>
      <c r="BQ72" s="6"/>
      <c r="BR72" s="6"/>
      <c r="BS72" s="6"/>
      <c r="CE72" s="1"/>
      <c r="CI72" s="1"/>
    </row>
    <row r="73" spans="52:87">
      <c r="AZ73" s="1"/>
      <c r="BF73" s="6"/>
      <c r="BG73" s="6"/>
      <c r="BP73" s="6"/>
      <c r="BQ73" s="6"/>
      <c r="BR73" s="6"/>
      <c r="BS73" s="6"/>
      <c r="CE73" s="1"/>
      <c r="CI73" s="1"/>
    </row>
    <row r="74" spans="52:87">
      <c r="AZ74" s="1"/>
      <c r="BF74" s="6"/>
      <c r="BG74" s="6"/>
      <c r="BP74" s="6"/>
      <c r="BQ74" s="6"/>
      <c r="BR74" s="6"/>
      <c r="BS74" s="6"/>
      <c r="CE74" s="1"/>
      <c r="CI74" s="1"/>
    </row>
    <row r="75" spans="52:87">
      <c r="AZ75" s="1"/>
      <c r="BF75" s="6"/>
      <c r="BG75" s="6"/>
      <c r="BP75" s="6"/>
      <c r="BQ75" s="6"/>
      <c r="BR75" s="6"/>
      <c r="BS75" s="6"/>
      <c r="CE75" s="1"/>
      <c r="CI75" s="1"/>
    </row>
    <row r="76" spans="52:87">
      <c r="AZ76" s="1"/>
      <c r="BF76" s="6"/>
      <c r="BG76" s="6"/>
      <c r="BP76" s="6"/>
      <c r="BQ76" s="6"/>
      <c r="BR76" s="6"/>
      <c r="BS76" s="6"/>
      <c r="CE76" s="1"/>
      <c r="CI76" s="1"/>
    </row>
    <row r="77" spans="52:87">
      <c r="AZ77" s="1"/>
      <c r="BF77" s="6"/>
      <c r="BG77" s="6"/>
      <c r="BP77" s="6"/>
      <c r="BQ77" s="6"/>
      <c r="BR77" s="6"/>
      <c r="BS77" s="6"/>
      <c r="CE77" s="1"/>
      <c r="CI77" s="1"/>
    </row>
    <row r="78" spans="52:87">
      <c r="AZ78" s="1"/>
      <c r="BF78" s="6"/>
      <c r="BG78" s="6"/>
      <c r="BP78" s="6"/>
      <c r="BQ78" s="6"/>
      <c r="BR78" s="6"/>
      <c r="BS78" s="6"/>
      <c r="CE78" s="1"/>
      <c r="CI78" s="1"/>
    </row>
    <row r="79" spans="52:87">
      <c r="AZ79" s="1"/>
      <c r="BF79" s="6"/>
      <c r="BG79" s="6"/>
      <c r="BP79" s="6"/>
      <c r="BQ79" s="6"/>
      <c r="BR79" s="6"/>
      <c r="BS79" s="6"/>
      <c r="CE79" s="1"/>
      <c r="CI79" s="1"/>
    </row>
    <row r="80" spans="52:87">
      <c r="AZ80" s="1"/>
      <c r="BF80" s="6"/>
      <c r="BG80" s="6"/>
      <c r="BP80" s="6"/>
      <c r="BQ80" s="6"/>
      <c r="BR80" s="6"/>
      <c r="BS80" s="6"/>
      <c r="CE80" s="1"/>
      <c r="CI80" s="1"/>
    </row>
    <row r="81" spans="52:87">
      <c r="AZ81" s="1"/>
      <c r="BF81" s="6"/>
      <c r="BG81" s="6"/>
      <c r="BP81" s="6"/>
      <c r="BQ81" s="6"/>
      <c r="BR81" s="6"/>
      <c r="BS81" s="6"/>
      <c r="CE81" s="1"/>
      <c r="CI81" s="1"/>
    </row>
    <row r="82" spans="52:87">
      <c r="AZ82" s="1"/>
      <c r="BF82" s="6"/>
      <c r="BG82" s="6"/>
      <c r="BP82" s="6"/>
      <c r="BQ82" s="6"/>
      <c r="BR82" s="6"/>
      <c r="BS82" s="6"/>
      <c r="CE82" s="1"/>
      <c r="CI82" s="1"/>
    </row>
    <row r="83" spans="52:87">
      <c r="AZ83" s="1"/>
      <c r="BF83" s="6"/>
      <c r="BG83" s="6"/>
      <c r="BP83" s="6"/>
      <c r="BQ83" s="6"/>
      <c r="BR83" s="6"/>
      <c r="BS83" s="6"/>
      <c r="CE83" s="1"/>
      <c r="CI83" s="1"/>
    </row>
    <row r="84" spans="52:87">
      <c r="AZ84" s="1"/>
      <c r="BF84" s="6"/>
      <c r="BG84" s="6"/>
      <c r="BP84" s="6"/>
      <c r="BQ84" s="6"/>
      <c r="BR84" s="6"/>
      <c r="BS84" s="6"/>
      <c r="CE84" s="1"/>
      <c r="CI84" s="1"/>
    </row>
    <row r="85" spans="52:87">
      <c r="AZ85" s="1"/>
      <c r="BF85" s="6"/>
      <c r="BG85" s="6"/>
      <c r="BP85" s="6"/>
      <c r="BQ85" s="6"/>
      <c r="BR85" s="6"/>
      <c r="BS85" s="6"/>
      <c r="CE85" s="1"/>
      <c r="CI85" s="1"/>
    </row>
    <row r="86" spans="52:87">
      <c r="AZ86" s="1"/>
      <c r="BF86" s="6"/>
      <c r="BG86" s="6"/>
      <c r="BP86" s="6"/>
      <c r="BQ86" s="6"/>
      <c r="BR86" s="6"/>
      <c r="BS86" s="6"/>
      <c r="CE86" s="1"/>
      <c r="CI86" s="1"/>
    </row>
    <row r="87" spans="52:87">
      <c r="AZ87" s="1"/>
      <c r="BF87" s="6"/>
      <c r="BG87" s="6"/>
      <c r="BP87" s="6"/>
      <c r="BQ87" s="6"/>
      <c r="BR87" s="6"/>
      <c r="BS87" s="6"/>
      <c r="CE87" s="1"/>
      <c r="CI87" s="1"/>
    </row>
    <row r="88" spans="52:87">
      <c r="AZ88" s="1"/>
      <c r="BF88" s="6"/>
      <c r="BG88" s="6"/>
      <c r="BP88" s="6"/>
      <c r="BQ88" s="6"/>
      <c r="BR88" s="6"/>
      <c r="BS88" s="6"/>
      <c r="CE88" s="1"/>
      <c r="CI88" s="1"/>
    </row>
    <row r="89" spans="52:87">
      <c r="AZ89" s="1"/>
      <c r="BF89" s="6"/>
      <c r="BG89" s="6"/>
      <c r="BP89" s="6"/>
      <c r="BQ89" s="6"/>
      <c r="BR89" s="6"/>
      <c r="BS89" s="6"/>
      <c r="CE89" s="1"/>
      <c r="CI89" s="1"/>
    </row>
    <row r="90" spans="52:87">
      <c r="AZ90" s="1"/>
      <c r="BF90" s="6"/>
      <c r="BG90" s="6"/>
      <c r="BP90" s="6"/>
      <c r="BQ90" s="6"/>
      <c r="BR90" s="6"/>
      <c r="BS90" s="6"/>
      <c r="CE90" s="1"/>
      <c r="CI90" s="1"/>
    </row>
    <row r="91" spans="52:87">
      <c r="AZ91" s="1"/>
      <c r="BF91" s="6"/>
      <c r="BG91" s="6"/>
      <c r="BP91" s="6"/>
      <c r="BQ91" s="6"/>
      <c r="BR91" s="6"/>
      <c r="BS91" s="6"/>
      <c r="CE91" s="1"/>
      <c r="CI91" s="1"/>
    </row>
    <row r="92" spans="52:87">
      <c r="AZ92" s="1"/>
      <c r="BF92" s="6"/>
      <c r="BG92" s="6"/>
      <c r="BP92" s="6"/>
      <c r="BQ92" s="6"/>
      <c r="BR92" s="6"/>
      <c r="BS92" s="6"/>
      <c r="CE92" s="1"/>
      <c r="CI92" s="1"/>
    </row>
    <row r="93" spans="52:87">
      <c r="AZ93" s="1"/>
      <c r="BF93" s="6"/>
      <c r="BG93" s="6"/>
      <c r="BP93" s="6"/>
      <c r="BQ93" s="6"/>
      <c r="BR93" s="6"/>
      <c r="BS93" s="6"/>
      <c r="CE93" s="1"/>
      <c r="CI93" s="1"/>
    </row>
    <row r="94" spans="52:87">
      <c r="AZ94" s="1"/>
      <c r="BF94" s="6"/>
      <c r="BG94" s="6"/>
      <c r="BP94" s="6"/>
      <c r="BQ94" s="6"/>
      <c r="BR94" s="6"/>
      <c r="BS94" s="6"/>
      <c r="CE94" s="1"/>
      <c r="CI94" s="1"/>
    </row>
    <row r="95" spans="52:87">
      <c r="AZ95" s="1"/>
      <c r="BF95" s="6"/>
      <c r="BG95" s="6"/>
      <c r="BP95" s="6"/>
      <c r="BQ95" s="6"/>
      <c r="BR95" s="6"/>
      <c r="BS95" s="6"/>
      <c r="CE95" s="1"/>
      <c r="CI95" s="1"/>
    </row>
    <row r="96" spans="52:87">
      <c r="AZ96" s="1"/>
      <c r="BF96" s="6"/>
      <c r="BG96" s="6"/>
      <c r="BP96" s="6"/>
      <c r="BQ96" s="6"/>
      <c r="BR96" s="6"/>
      <c r="BS96" s="6"/>
      <c r="CE96" s="1"/>
      <c r="CI96" s="1"/>
    </row>
    <row r="97" spans="52:87">
      <c r="AZ97" s="1"/>
      <c r="BF97" s="6"/>
      <c r="BG97" s="6"/>
      <c r="BP97" s="6"/>
      <c r="BQ97" s="6"/>
      <c r="BR97" s="6"/>
      <c r="BS97" s="6"/>
      <c r="CE97" s="1"/>
      <c r="CI97" s="1"/>
    </row>
    <row r="98" spans="52:87">
      <c r="AZ98" s="1"/>
      <c r="BF98" s="6"/>
      <c r="BG98" s="6"/>
      <c r="BP98" s="6"/>
      <c r="BQ98" s="6"/>
      <c r="BR98" s="6"/>
      <c r="BS98" s="6"/>
      <c r="CE98" s="1"/>
      <c r="CI98" s="1"/>
    </row>
    <row r="99" spans="52:87">
      <c r="AZ99" s="1"/>
      <c r="BF99" s="6"/>
      <c r="BG99" s="6"/>
      <c r="BP99" s="6"/>
      <c r="BQ99" s="6"/>
      <c r="BR99" s="6"/>
      <c r="BS99" s="6"/>
      <c r="CE99" s="1"/>
      <c r="CI99" s="1"/>
    </row>
    <row r="100" spans="52:87">
      <c r="AZ100" s="1"/>
      <c r="BF100" s="6"/>
      <c r="BG100" s="6"/>
      <c r="BP100" s="6"/>
      <c r="BQ100" s="6"/>
      <c r="BR100" s="6"/>
      <c r="BS100" s="6"/>
      <c r="CE100" s="1"/>
      <c r="CI100" s="1"/>
    </row>
    <row r="101" spans="52:87">
      <c r="AZ101" s="1"/>
      <c r="BF101" s="6"/>
      <c r="BG101" s="6"/>
      <c r="BP101" s="6"/>
      <c r="BQ101" s="6"/>
      <c r="BR101" s="6"/>
      <c r="BS101" s="6"/>
      <c r="CE101" s="1"/>
      <c r="CI101" s="1"/>
    </row>
    <row r="102" spans="52:87">
      <c r="AZ102" s="1"/>
      <c r="BF102" s="6"/>
      <c r="BG102" s="6"/>
      <c r="BP102" s="6"/>
      <c r="BQ102" s="6"/>
      <c r="BR102" s="6"/>
      <c r="BS102" s="6"/>
      <c r="CE102" s="1"/>
      <c r="CI102" s="1"/>
    </row>
    <row r="103" spans="52:87">
      <c r="AZ103" s="1"/>
      <c r="BF103" s="6"/>
      <c r="BG103" s="6"/>
      <c r="BP103" s="6"/>
      <c r="BQ103" s="6"/>
      <c r="BR103" s="6"/>
      <c r="BS103" s="6"/>
      <c r="CE103" s="1"/>
      <c r="CI103" s="1"/>
    </row>
    <row r="104" spans="52:87">
      <c r="AZ104" s="1"/>
      <c r="BF104" s="6"/>
      <c r="BG104" s="6"/>
      <c r="BP104" s="6"/>
      <c r="BQ104" s="6"/>
      <c r="BR104" s="6"/>
      <c r="BS104" s="6"/>
      <c r="CE104" s="1"/>
      <c r="CI104" s="1"/>
    </row>
    <row r="105" spans="52:87">
      <c r="AZ105" s="1"/>
      <c r="BF105" s="6"/>
      <c r="BG105" s="6"/>
      <c r="BP105" s="6"/>
      <c r="BQ105" s="6"/>
      <c r="BR105" s="6"/>
      <c r="BS105" s="6"/>
      <c r="CE105" s="1"/>
      <c r="CI105" s="1"/>
    </row>
    <row r="106" spans="52:87">
      <c r="AZ106" s="1"/>
      <c r="BF106" s="6"/>
      <c r="BG106" s="6"/>
      <c r="BP106" s="6"/>
      <c r="BQ106" s="6"/>
      <c r="BR106" s="6"/>
      <c r="BS106" s="6"/>
      <c r="CE106" s="1"/>
      <c r="CI106" s="1"/>
    </row>
    <row r="107" spans="52:87">
      <c r="AZ107" s="1"/>
      <c r="BF107" s="6"/>
      <c r="BG107" s="6"/>
      <c r="BP107" s="6"/>
      <c r="BQ107" s="6"/>
      <c r="BR107" s="6"/>
      <c r="BS107" s="6"/>
      <c r="CE107" s="1"/>
      <c r="CI107" s="1"/>
    </row>
    <row r="108" spans="52:87">
      <c r="AZ108" s="1"/>
      <c r="BF108" s="6"/>
      <c r="BG108" s="6"/>
      <c r="BP108" s="6"/>
      <c r="BQ108" s="6"/>
      <c r="BR108" s="6"/>
      <c r="BS108" s="6"/>
      <c r="CE108" s="1"/>
      <c r="CI108" s="1"/>
    </row>
    <row r="109" spans="52:87">
      <c r="AZ109" s="1"/>
      <c r="BF109" s="6"/>
      <c r="BG109" s="6"/>
      <c r="BP109" s="6"/>
      <c r="BQ109" s="6"/>
      <c r="BR109" s="6"/>
      <c r="BS109" s="6"/>
      <c r="CE109" s="1"/>
      <c r="CI109" s="1"/>
    </row>
    <row r="110" spans="52:87">
      <c r="AZ110" s="1"/>
      <c r="BF110" s="6"/>
      <c r="BG110" s="6"/>
      <c r="BP110" s="6"/>
      <c r="BQ110" s="6"/>
      <c r="BR110" s="6"/>
      <c r="BS110" s="6"/>
      <c r="CE110" s="1"/>
      <c r="CI110" s="1"/>
    </row>
    <row r="111" spans="52:87">
      <c r="AZ111" s="1"/>
      <c r="BF111" s="6"/>
      <c r="BG111" s="6"/>
      <c r="BP111" s="6"/>
      <c r="BQ111" s="6"/>
      <c r="BR111" s="6"/>
      <c r="BS111" s="6"/>
      <c r="CE111" s="1"/>
      <c r="CI111" s="1"/>
    </row>
    <row r="112" spans="52:87">
      <c r="AZ112" s="1"/>
      <c r="BF112" s="6"/>
      <c r="BG112" s="6"/>
      <c r="BP112" s="6"/>
      <c r="BQ112" s="6"/>
      <c r="BR112" s="6"/>
      <c r="BS112" s="6"/>
      <c r="CE112" s="1"/>
      <c r="CI112" s="1"/>
    </row>
    <row r="113" spans="52:87">
      <c r="AZ113" s="1"/>
      <c r="BF113" s="6"/>
      <c r="BG113" s="6"/>
      <c r="BP113" s="6"/>
      <c r="BQ113" s="6"/>
      <c r="BR113" s="6"/>
      <c r="BS113" s="6"/>
      <c r="CE113" s="1"/>
      <c r="CI113" s="1"/>
    </row>
    <row r="114" spans="52:87">
      <c r="AZ114" s="1"/>
      <c r="BF114" s="6"/>
      <c r="BG114" s="6"/>
      <c r="BP114" s="6"/>
      <c r="BQ114" s="6"/>
      <c r="BR114" s="6"/>
      <c r="BS114" s="6"/>
      <c r="CE114" s="1"/>
      <c r="CI114" s="1"/>
    </row>
    <row r="115" spans="52:87">
      <c r="AZ115" s="1"/>
      <c r="BF115" s="6"/>
      <c r="BG115" s="6"/>
      <c r="BP115" s="6"/>
      <c r="BQ115" s="6"/>
      <c r="BR115" s="6"/>
      <c r="BS115" s="6"/>
      <c r="CE115" s="1"/>
      <c r="CI115" s="1"/>
    </row>
    <row r="116" spans="52:87">
      <c r="AZ116" s="1"/>
      <c r="BF116" s="6"/>
      <c r="BG116" s="6"/>
      <c r="BP116" s="6"/>
      <c r="BQ116" s="6"/>
      <c r="BR116" s="6"/>
      <c r="BS116" s="6"/>
      <c r="CE116" s="1"/>
      <c r="CI116" s="1"/>
    </row>
    <row r="117" spans="52:87">
      <c r="AZ117" s="1"/>
      <c r="BF117" s="6"/>
      <c r="BG117" s="6"/>
      <c r="BP117" s="6"/>
      <c r="BQ117" s="6"/>
      <c r="BR117" s="6"/>
      <c r="BS117" s="6"/>
      <c r="CE117" s="1"/>
      <c r="CI117" s="1"/>
    </row>
    <row r="118" spans="52:87">
      <c r="AZ118" s="1"/>
      <c r="BF118" s="6"/>
      <c r="BG118" s="6"/>
      <c r="BP118" s="6"/>
      <c r="BQ118" s="6"/>
      <c r="BR118" s="6"/>
      <c r="BS118" s="6"/>
      <c r="CE118" s="1"/>
      <c r="CI118" s="1"/>
    </row>
    <row r="119" spans="52:87">
      <c r="AZ119" s="1"/>
      <c r="BF119" s="6"/>
      <c r="BG119" s="6"/>
      <c r="BP119" s="6"/>
      <c r="BQ119" s="6"/>
      <c r="BR119" s="6"/>
      <c r="BS119" s="6"/>
      <c r="CE119" s="1"/>
      <c r="CI119" s="1"/>
    </row>
    <row r="120" spans="52:87">
      <c r="AZ120" s="1"/>
      <c r="BF120" s="6"/>
      <c r="BG120" s="6"/>
      <c r="BP120" s="6"/>
      <c r="BQ120" s="6"/>
      <c r="BR120" s="6"/>
      <c r="BS120" s="6"/>
      <c r="CE120" s="1"/>
      <c r="CI120" s="1"/>
    </row>
    <row r="121" spans="52:87">
      <c r="AZ121" s="1"/>
      <c r="BF121" s="6"/>
      <c r="BG121" s="6"/>
      <c r="BP121" s="6"/>
      <c r="BQ121" s="6"/>
      <c r="BR121" s="6"/>
      <c r="BS121" s="6"/>
      <c r="CE121" s="1"/>
      <c r="CI121" s="1"/>
    </row>
    <row r="122" spans="52:87">
      <c r="AZ122" s="1"/>
      <c r="BF122" s="6"/>
      <c r="BG122" s="6"/>
      <c r="BP122" s="6"/>
      <c r="BQ122" s="6"/>
      <c r="BR122" s="6"/>
      <c r="BS122" s="6"/>
      <c r="CE122" s="1"/>
      <c r="CI122" s="1"/>
    </row>
    <row r="123" spans="52:87">
      <c r="AZ123" s="1"/>
      <c r="BF123" s="6"/>
      <c r="BG123" s="6"/>
      <c r="BP123" s="6"/>
      <c r="BQ123" s="6"/>
      <c r="BR123" s="6"/>
      <c r="BS123" s="6"/>
      <c r="CE123" s="1"/>
      <c r="CI123" s="1"/>
    </row>
    <row r="124" spans="52:87">
      <c r="AZ124" s="1"/>
      <c r="BF124" s="6"/>
      <c r="BG124" s="6"/>
      <c r="BP124" s="6"/>
      <c r="BQ124" s="6"/>
      <c r="BR124" s="6"/>
      <c r="BS124" s="6"/>
      <c r="CE124" s="1"/>
      <c r="CI124" s="1"/>
    </row>
    <row r="125" spans="52:87">
      <c r="AZ125" s="1"/>
      <c r="BF125" s="6"/>
      <c r="BG125" s="6"/>
      <c r="BP125" s="6"/>
      <c r="BQ125" s="6"/>
      <c r="BR125" s="6"/>
      <c r="BS125" s="6"/>
      <c r="CE125" s="1"/>
      <c r="CI125" s="1"/>
    </row>
    <row r="126" spans="52:87">
      <c r="AZ126" s="1"/>
      <c r="BF126" s="6"/>
      <c r="BG126" s="6"/>
      <c r="BP126" s="6"/>
      <c r="BQ126" s="6"/>
      <c r="BR126" s="6"/>
      <c r="BS126" s="6"/>
      <c r="CE126" s="1"/>
      <c r="CI126" s="1"/>
    </row>
    <row r="127" spans="52:87">
      <c r="AZ127" s="1"/>
      <c r="BF127" s="6"/>
      <c r="BG127" s="6"/>
      <c r="BP127" s="6"/>
      <c r="BQ127" s="6"/>
      <c r="BR127" s="6"/>
      <c r="BS127" s="6"/>
      <c r="CE127" s="1"/>
      <c r="CI127" s="1"/>
    </row>
    <row r="128" spans="52:87">
      <c r="AZ128" s="1"/>
      <c r="BF128" s="6"/>
      <c r="BG128" s="6"/>
      <c r="BP128" s="6"/>
      <c r="BQ128" s="6"/>
      <c r="BR128" s="6"/>
      <c r="BS128" s="6"/>
      <c r="CE128" s="1"/>
      <c r="CI128" s="1"/>
    </row>
    <row r="129" spans="52:87">
      <c r="AZ129" s="1"/>
      <c r="BF129" s="6"/>
      <c r="BG129" s="6"/>
      <c r="BP129" s="6"/>
      <c r="BQ129" s="6"/>
      <c r="BR129" s="6"/>
      <c r="BS129" s="6"/>
      <c r="CE129" s="1"/>
      <c r="CI129" s="1"/>
    </row>
    <row r="130" spans="52:87">
      <c r="AZ130" s="1"/>
      <c r="BF130" s="6"/>
      <c r="BG130" s="6"/>
      <c r="BP130" s="6"/>
      <c r="BQ130" s="6"/>
      <c r="BR130" s="6"/>
      <c r="BS130" s="6"/>
      <c r="CE130" s="1"/>
      <c r="CI130" s="1"/>
    </row>
    <row r="131" spans="52:87">
      <c r="AZ131" s="1"/>
      <c r="BF131" s="6"/>
      <c r="BG131" s="6"/>
      <c r="BP131" s="6"/>
      <c r="BQ131" s="6"/>
      <c r="BR131" s="6"/>
      <c r="BS131" s="6"/>
      <c r="CE131" s="1"/>
      <c r="CI131" s="1"/>
    </row>
    <row r="132" spans="52:87">
      <c r="AZ132" s="1"/>
      <c r="BF132" s="6"/>
      <c r="BG132" s="6"/>
      <c r="BP132" s="6"/>
      <c r="BQ132" s="6"/>
      <c r="BR132" s="6"/>
      <c r="BS132" s="6"/>
      <c r="CE132" s="1"/>
      <c r="CI132" s="1"/>
    </row>
    <row r="133" spans="52:87">
      <c r="AZ133" s="1"/>
      <c r="BF133" s="6"/>
      <c r="BG133" s="6"/>
      <c r="BP133" s="6"/>
      <c r="BQ133" s="6"/>
      <c r="BR133" s="6"/>
      <c r="BS133" s="6"/>
      <c r="CE133" s="1"/>
      <c r="CI133" s="1"/>
    </row>
    <row r="134" spans="52:87">
      <c r="AZ134" s="1"/>
      <c r="BF134" s="6"/>
      <c r="BG134" s="6"/>
      <c r="BP134" s="6"/>
      <c r="BQ134" s="6"/>
      <c r="BR134" s="6"/>
      <c r="BS134" s="6"/>
      <c r="CE134" s="1"/>
      <c r="CI134" s="1"/>
    </row>
    <row r="135" spans="52:87">
      <c r="AZ135" s="1"/>
      <c r="BF135" s="6"/>
      <c r="BG135" s="6"/>
      <c r="BP135" s="6"/>
      <c r="BQ135" s="6"/>
      <c r="BR135" s="6"/>
      <c r="BS135" s="6"/>
      <c r="CE135" s="1"/>
      <c r="CI135" s="1"/>
    </row>
    <row r="136" spans="52:87">
      <c r="AZ136" s="1"/>
      <c r="BF136" s="6"/>
      <c r="BG136" s="6"/>
      <c r="BP136" s="6"/>
      <c r="BQ136" s="6"/>
      <c r="BR136" s="6"/>
      <c r="BS136" s="6"/>
      <c r="CE136" s="1"/>
      <c r="CI136" s="1"/>
    </row>
    <row r="137" spans="52:87">
      <c r="AZ137" s="1"/>
      <c r="BF137" s="6"/>
      <c r="BG137" s="6"/>
      <c r="BP137" s="6"/>
      <c r="BQ137" s="6"/>
      <c r="BR137" s="6"/>
      <c r="BS137" s="6"/>
      <c r="CE137" s="1"/>
      <c r="CI137" s="1"/>
    </row>
    <row r="138" spans="52:87">
      <c r="AZ138" s="1"/>
      <c r="BF138" s="6"/>
      <c r="BG138" s="6"/>
      <c r="BP138" s="6"/>
      <c r="BQ138" s="6"/>
      <c r="BR138" s="6"/>
      <c r="BS138" s="6"/>
      <c r="CE138" s="1"/>
      <c r="CI138" s="1"/>
    </row>
    <row r="139" spans="52:87">
      <c r="AZ139" s="1"/>
      <c r="BF139" s="6"/>
      <c r="BG139" s="6"/>
      <c r="BP139" s="6"/>
      <c r="BQ139" s="6"/>
      <c r="BR139" s="6"/>
      <c r="BS139" s="6"/>
      <c r="CE139" s="1"/>
      <c r="CI139" s="1"/>
    </row>
    <row r="140" spans="52:87">
      <c r="AZ140" s="1"/>
      <c r="BF140" s="6"/>
      <c r="BG140" s="6"/>
      <c r="BP140" s="6"/>
      <c r="BQ140" s="6"/>
      <c r="BR140" s="6"/>
      <c r="BS140" s="6"/>
      <c r="CE140" s="1"/>
      <c r="CI140" s="1"/>
    </row>
    <row r="141" spans="52:87">
      <c r="AZ141" s="1"/>
      <c r="BF141" s="6"/>
      <c r="BG141" s="6"/>
      <c r="BP141" s="6"/>
      <c r="BQ141" s="6"/>
      <c r="BR141" s="6"/>
      <c r="BS141" s="6"/>
      <c r="CE141" s="1"/>
      <c r="CI141" s="1"/>
    </row>
    <row r="142" spans="52:87">
      <c r="AZ142" s="1"/>
      <c r="BF142" s="6"/>
      <c r="BG142" s="6"/>
      <c r="BP142" s="6"/>
      <c r="BQ142" s="6"/>
      <c r="BR142" s="6"/>
      <c r="BS142" s="6"/>
      <c r="CE142" s="1"/>
      <c r="CI142" s="1"/>
    </row>
    <row r="143" spans="52:87">
      <c r="AZ143" s="1"/>
      <c r="BF143" s="6"/>
      <c r="BG143" s="6"/>
      <c r="BP143" s="6"/>
      <c r="BQ143" s="6"/>
      <c r="BR143" s="6"/>
      <c r="BS143" s="6"/>
      <c r="CE143" s="1"/>
      <c r="CI143" s="1"/>
    </row>
    <row r="144" spans="52:87">
      <c r="AZ144" s="1"/>
      <c r="BF144" s="6"/>
      <c r="BG144" s="6"/>
      <c r="BP144" s="6"/>
      <c r="BQ144" s="6"/>
      <c r="BR144" s="6"/>
      <c r="BS144" s="6"/>
      <c r="CE144" s="1"/>
      <c r="CI144" s="1"/>
    </row>
    <row r="145" spans="52:87">
      <c r="AZ145" s="1"/>
      <c r="BF145" s="6"/>
      <c r="BG145" s="6"/>
      <c r="BP145" s="6"/>
      <c r="BQ145" s="6"/>
      <c r="BR145" s="6"/>
      <c r="BS145" s="6"/>
      <c r="CE145" s="1"/>
      <c r="CI145" s="1"/>
    </row>
    <row r="146" spans="52:87">
      <c r="AZ146" s="1"/>
      <c r="BF146" s="6"/>
      <c r="BG146" s="6"/>
      <c r="BP146" s="6"/>
      <c r="BQ146" s="6"/>
      <c r="BR146" s="6"/>
      <c r="BS146" s="6"/>
      <c r="CE146" s="1"/>
      <c r="CI146" s="1"/>
    </row>
    <row r="147" spans="52:87">
      <c r="AZ147" s="1"/>
      <c r="BF147" s="6"/>
      <c r="BG147" s="6"/>
      <c r="BP147" s="6"/>
      <c r="BQ147" s="6"/>
      <c r="BR147" s="6"/>
      <c r="BS147" s="6"/>
      <c r="CE147" s="1"/>
      <c r="CI147" s="1"/>
    </row>
    <row r="148" spans="52:87">
      <c r="AZ148" s="1"/>
      <c r="BF148" s="6"/>
      <c r="BG148" s="6"/>
      <c r="BP148" s="6"/>
      <c r="BQ148" s="6"/>
      <c r="BR148" s="6"/>
      <c r="BS148" s="6"/>
      <c r="CE148" s="1"/>
      <c r="CI148" s="1"/>
    </row>
    <row r="149" spans="52:87">
      <c r="AZ149" s="1"/>
      <c r="BF149" s="6"/>
      <c r="BG149" s="6"/>
      <c r="BP149" s="6"/>
      <c r="BQ149" s="6"/>
      <c r="BR149" s="6"/>
      <c r="BS149" s="6"/>
      <c r="CE149" s="1"/>
      <c r="CI149" s="1"/>
    </row>
    <row r="150" spans="52:87">
      <c r="AZ150" s="1"/>
      <c r="BF150" s="6"/>
      <c r="BG150" s="6"/>
      <c r="BP150" s="6"/>
      <c r="BQ150" s="6"/>
      <c r="BR150" s="6"/>
      <c r="BS150" s="6"/>
      <c r="CE150" s="1"/>
      <c r="CI150" s="1"/>
    </row>
    <row r="151" spans="52:87">
      <c r="AZ151" s="1"/>
      <c r="BF151" s="6"/>
      <c r="BG151" s="6"/>
      <c r="BP151" s="6"/>
      <c r="BQ151" s="6"/>
      <c r="BR151" s="6"/>
      <c r="BS151" s="6"/>
      <c r="CE151" s="1"/>
      <c r="CI151" s="1"/>
    </row>
    <row r="152" spans="52:87">
      <c r="AZ152" s="1"/>
      <c r="BF152" s="6"/>
      <c r="BG152" s="6"/>
      <c r="BP152" s="6"/>
      <c r="BQ152" s="6"/>
      <c r="BR152" s="6"/>
      <c r="BS152" s="6"/>
      <c r="CE152" s="1"/>
      <c r="CI152" s="1"/>
    </row>
    <row r="153" spans="52:87">
      <c r="AZ153" s="1"/>
      <c r="BF153" s="6"/>
      <c r="BG153" s="6"/>
      <c r="BP153" s="6"/>
      <c r="BQ153" s="6"/>
      <c r="BR153" s="6"/>
      <c r="BS153" s="6"/>
      <c r="CE153" s="1"/>
      <c r="CI153" s="1"/>
    </row>
    <row r="154" spans="52:87">
      <c r="AZ154" s="1"/>
      <c r="BF154" s="6"/>
      <c r="BG154" s="6"/>
      <c r="BP154" s="6"/>
      <c r="BQ154" s="6"/>
      <c r="BR154" s="6"/>
      <c r="BS154" s="6"/>
      <c r="CE154" s="1"/>
      <c r="CI154" s="1"/>
    </row>
    <row r="155" spans="52:87">
      <c r="AZ155" s="1"/>
      <c r="BF155" s="6"/>
      <c r="BG155" s="6"/>
      <c r="BP155" s="6"/>
      <c r="BQ155" s="6"/>
      <c r="BR155" s="6"/>
      <c r="BS155" s="6"/>
      <c r="CE155" s="1"/>
      <c r="CI155" s="1"/>
    </row>
    <row r="156" spans="52:87">
      <c r="AZ156" s="1"/>
      <c r="BF156" s="6"/>
      <c r="BG156" s="6"/>
      <c r="BP156" s="6"/>
      <c r="BQ156" s="6"/>
      <c r="BR156" s="6"/>
      <c r="BS156" s="6"/>
      <c r="CE156" s="1"/>
      <c r="CI156" s="1"/>
    </row>
    <row r="157" spans="52:87">
      <c r="AZ157" s="1"/>
      <c r="BF157" s="6"/>
      <c r="BG157" s="6"/>
      <c r="BP157" s="6"/>
      <c r="BQ157" s="6"/>
      <c r="BR157" s="6"/>
      <c r="BS157" s="6"/>
      <c r="CE157" s="1"/>
      <c r="CI157" s="1"/>
    </row>
    <row r="158" spans="52:87">
      <c r="AZ158" s="1"/>
      <c r="BF158" s="6"/>
      <c r="BG158" s="6"/>
      <c r="BP158" s="6"/>
      <c r="BQ158" s="6"/>
      <c r="BR158" s="6"/>
      <c r="BS158" s="6"/>
      <c r="CE158" s="1"/>
      <c r="CI158" s="1"/>
    </row>
    <row r="159" spans="52:87">
      <c r="AZ159" s="1"/>
      <c r="BF159" s="6"/>
      <c r="BG159" s="6"/>
      <c r="BP159" s="6"/>
      <c r="BQ159" s="6"/>
      <c r="BR159" s="6"/>
      <c r="BS159" s="6"/>
      <c r="CE159" s="1"/>
      <c r="CI159" s="1"/>
    </row>
    <row r="160" spans="52:87">
      <c r="AZ160" s="1"/>
      <c r="BF160" s="6"/>
      <c r="BG160" s="6"/>
      <c r="BP160" s="6"/>
      <c r="BQ160" s="6"/>
      <c r="BR160" s="6"/>
      <c r="BS160" s="6"/>
      <c r="CE160" s="1"/>
      <c r="CI160" s="1"/>
    </row>
    <row r="161" spans="52:87">
      <c r="AZ161" s="1"/>
      <c r="BF161" s="6"/>
      <c r="BG161" s="6"/>
      <c r="BP161" s="6"/>
      <c r="BQ161" s="6"/>
      <c r="BR161" s="6"/>
      <c r="BS161" s="6"/>
      <c r="CE161" s="1"/>
      <c r="CI161" s="1"/>
    </row>
    <row r="162" spans="52:87">
      <c r="AZ162" s="1"/>
      <c r="BF162" s="6"/>
      <c r="BG162" s="6"/>
      <c r="BP162" s="6"/>
      <c r="BQ162" s="6"/>
      <c r="BR162" s="6"/>
      <c r="BS162" s="6"/>
      <c r="CE162" s="1"/>
      <c r="CI162" s="1"/>
    </row>
    <row r="163" spans="52:87">
      <c r="AZ163" s="1"/>
      <c r="BF163" s="6"/>
      <c r="BG163" s="6"/>
      <c r="BP163" s="6"/>
      <c r="BQ163" s="6"/>
      <c r="BR163" s="6"/>
      <c r="BS163" s="6"/>
      <c r="CE163" s="1"/>
      <c r="CI163" s="1"/>
    </row>
    <row r="164" spans="52:87">
      <c r="AZ164" s="1"/>
      <c r="BF164" s="6"/>
      <c r="BG164" s="6"/>
      <c r="BP164" s="6"/>
      <c r="BQ164" s="6"/>
      <c r="BR164" s="6"/>
      <c r="BS164" s="6"/>
      <c r="CE164" s="1"/>
      <c r="CI164" s="1"/>
    </row>
    <row r="165" spans="52:87">
      <c r="AZ165" s="1"/>
      <c r="BF165" s="6"/>
      <c r="BG165" s="6"/>
      <c r="BP165" s="6"/>
      <c r="BQ165" s="6"/>
      <c r="BR165" s="6"/>
      <c r="BS165" s="6"/>
      <c r="CE165" s="1"/>
      <c r="CI165" s="1"/>
    </row>
    <row r="166" spans="52:87">
      <c r="AZ166" s="1"/>
      <c r="BF166" s="6"/>
      <c r="BG166" s="6"/>
      <c r="BP166" s="6"/>
      <c r="BQ166" s="6"/>
      <c r="BR166" s="6"/>
      <c r="BS166" s="6"/>
      <c r="CE166" s="1"/>
      <c r="CI166" s="1"/>
    </row>
    <row r="167" spans="52:87">
      <c r="AZ167" s="1"/>
      <c r="BF167" s="6"/>
      <c r="BG167" s="6"/>
      <c r="BP167" s="6"/>
      <c r="BQ167" s="6"/>
      <c r="BR167" s="6"/>
      <c r="BS167" s="6"/>
      <c r="CE167" s="1"/>
      <c r="CI167" s="1"/>
    </row>
    <row r="168" spans="52:87">
      <c r="AZ168" s="1"/>
      <c r="BF168" s="6"/>
      <c r="BG168" s="6"/>
      <c r="BP168" s="6"/>
      <c r="BQ168" s="6"/>
      <c r="BR168" s="6"/>
      <c r="BS168" s="6"/>
      <c r="CE168" s="1"/>
      <c r="CI168" s="1"/>
    </row>
    <row r="169" spans="52:87">
      <c r="AZ169" s="1"/>
      <c r="BF169" s="6"/>
      <c r="BG169" s="6"/>
      <c r="BP169" s="6"/>
      <c r="BQ169" s="6"/>
      <c r="BR169" s="6"/>
      <c r="BS169" s="6"/>
      <c r="CE169" s="1"/>
      <c r="CI169" s="1"/>
    </row>
    <row r="170" spans="52:87">
      <c r="AZ170" s="1"/>
      <c r="BF170" s="6"/>
      <c r="BG170" s="6"/>
      <c r="BP170" s="6"/>
      <c r="BQ170" s="6"/>
      <c r="BR170" s="6"/>
      <c r="BS170" s="6"/>
      <c r="CE170" s="1"/>
      <c r="CI170" s="1"/>
    </row>
    <row r="171" spans="52:87">
      <c r="AZ171" s="1"/>
      <c r="BF171" s="6"/>
      <c r="BG171" s="6"/>
      <c r="BP171" s="6"/>
      <c r="BQ171" s="6"/>
      <c r="BR171" s="6"/>
      <c r="BS171" s="6"/>
      <c r="CE171" s="1"/>
      <c r="CI171" s="1"/>
    </row>
    <row r="172" spans="52:87">
      <c r="AZ172" s="1"/>
      <c r="BF172" s="6"/>
      <c r="BG172" s="6"/>
      <c r="BP172" s="6"/>
      <c r="BQ172" s="6"/>
      <c r="BR172" s="6"/>
      <c r="BS172" s="6"/>
      <c r="CE172" s="1"/>
      <c r="CI172" s="1"/>
    </row>
    <row r="173" spans="52:87">
      <c r="AZ173" s="1"/>
      <c r="BF173" s="6"/>
      <c r="BG173" s="6"/>
      <c r="BP173" s="6"/>
      <c r="BQ173" s="6"/>
      <c r="BR173" s="6"/>
      <c r="BS173" s="6"/>
      <c r="CE173" s="1"/>
      <c r="CI173" s="1"/>
    </row>
    <row r="174" spans="52:87">
      <c r="AZ174" s="1"/>
      <c r="BF174" s="6"/>
      <c r="BG174" s="6"/>
      <c r="BP174" s="6"/>
      <c r="BQ174" s="6"/>
      <c r="BR174" s="6"/>
      <c r="BS174" s="6"/>
      <c r="CE174" s="1"/>
      <c r="CI174" s="1"/>
    </row>
    <row r="175" spans="52:87">
      <c r="AZ175" s="1"/>
      <c r="BF175" s="6"/>
      <c r="BG175" s="6"/>
      <c r="BP175" s="6"/>
      <c r="BQ175" s="6"/>
      <c r="BR175" s="6"/>
      <c r="BS175" s="6"/>
      <c r="CE175" s="1"/>
      <c r="CI175" s="1"/>
    </row>
    <row r="176" spans="52:87">
      <c r="AZ176" s="1"/>
      <c r="BF176" s="6"/>
      <c r="BG176" s="6"/>
      <c r="BP176" s="6"/>
      <c r="BQ176" s="6"/>
      <c r="BR176" s="6"/>
      <c r="BS176" s="6"/>
      <c r="CE176" s="1"/>
      <c r="CI176" s="1"/>
    </row>
    <row r="177" spans="52:87">
      <c r="AZ177" s="1"/>
      <c r="BF177" s="6"/>
      <c r="BG177" s="6"/>
      <c r="BP177" s="6"/>
      <c r="BQ177" s="6"/>
      <c r="BR177" s="6"/>
      <c r="BS177" s="6"/>
      <c r="CE177" s="1"/>
      <c r="CI177" s="1"/>
    </row>
    <row r="178" spans="52:87">
      <c r="AZ178" s="1"/>
      <c r="BF178" s="6"/>
      <c r="BG178" s="6"/>
      <c r="BP178" s="6"/>
      <c r="BQ178" s="6"/>
      <c r="BR178" s="6"/>
      <c r="BS178" s="6"/>
      <c r="CE178" s="1"/>
      <c r="CI178" s="1"/>
    </row>
    <row r="179" spans="52:87">
      <c r="AZ179" s="1"/>
      <c r="BF179" s="6"/>
      <c r="BG179" s="6"/>
      <c r="BP179" s="6"/>
      <c r="BQ179" s="6"/>
      <c r="BR179" s="6"/>
      <c r="BS179" s="6"/>
      <c r="CE179" s="1"/>
      <c r="CI179" s="1"/>
    </row>
    <row r="180" spans="52:87">
      <c r="AZ180" s="1"/>
      <c r="BF180" s="6"/>
      <c r="BG180" s="6"/>
      <c r="BP180" s="6"/>
      <c r="BQ180" s="6"/>
      <c r="BR180" s="6"/>
      <c r="BS180" s="6"/>
      <c r="CE180" s="1"/>
      <c r="CI180" s="1"/>
    </row>
    <row r="181" spans="52:87">
      <c r="AZ181" s="1"/>
      <c r="BF181" s="6"/>
      <c r="BG181" s="6"/>
      <c r="BP181" s="6"/>
      <c r="BQ181" s="6"/>
      <c r="BR181" s="6"/>
      <c r="BS181" s="6"/>
      <c r="CE181" s="1"/>
      <c r="CI181" s="1"/>
    </row>
    <row r="182" spans="52:87">
      <c r="AZ182" s="1"/>
      <c r="BF182" s="6"/>
      <c r="BG182" s="6"/>
      <c r="BP182" s="6"/>
      <c r="BQ182" s="6"/>
      <c r="BR182" s="6"/>
      <c r="BS182" s="6"/>
      <c r="CE182" s="1"/>
      <c r="CI182" s="1"/>
    </row>
    <row r="183" spans="52:87">
      <c r="AZ183" s="1"/>
      <c r="BF183" s="6"/>
      <c r="BG183" s="6"/>
      <c r="BP183" s="6"/>
      <c r="BQ183" s="6"/>
      <c r="BR183" s="6"/>
      <c r="BS183" s="6"/>
      <c r="CE183" s="1"/>
      <c r="CI183" s="1"/>
    </row>
    <row r="184" spans="52:87">
      <c r="AZ184" s="1"/>
      <c r="BF184" s="6"/>
      <c r="BG184" s="6"/>
      <c r="BP184" s="6"/>
      <c r="BQ184" s="6"/>
      <c r="BR184" s="6"/>
      <c r="BS184" s="6"/>
      <c r="CE184" s="1"/>
      <c r="CI184" s="1"/>
    </row>
    <row r="185" spans="52:87">
      <c r="AZ185" s="1"/>
      <c r="BF185" s="6"/>
      <c r="BG185" s="6"/>
      <c r="BP185" s="6"/>
      <c r="BQ185" s="6"/>
      <c r="BR185" s="6"/>
      <c r="BS185" s="6"/>
      <c r="CE185" s="1"/>
      <c r="CI185" s="1"/>
    </row>
    <row r="186" spans="52:87">
      <c r="AZ186" s="1"/>
      <c r="BF186" s="6"/>
      <c r="BG186" s="6"/>
      <c r="BP186" s="6"/>
      <c r="BQ186" s="6"/>
      <c r="BR186" s="6"/>
      <c r="BS186" s="6"/>
      <c r="CE186" s="1"/>
      <c r="CI186" s="1"/>
    </row>
    <row r="187" spans="52:87">
      <c r="AZ187" s="1"/>
      <c r="BF187" s="6"/>
      <c r="BG187" s="6"/>
      <c r="BP187" s="6"/>
      <c r="BQ187" s="6"/>
      <c r="BR187" s="6"/>
      <c r="BS187" s="6"/>
      <c r="CE187" s="1"/>
      <c r="CI187" s="1"/>
    </row>
    <row r="188" spans="52:87">
      <c r="AZ188" s="1"/>
      <c r="BF188" s="6"/>
      <c r="BG188" s="6"/>
      <c r="BP188" s="6"/>
      <c r="BQ188" s="6"/>
      <c r="BR188" s="6"/>
      <c r="BS188" s="6"/>
      <c r="CE188" s="1"/>
      <c r="CI188" s="1"/>
    </row>
    <row r="189" spans="52:87">
      <c r="AZ189" s="1"/>
      <c r="BF189" s="6"/>
      <c r="BG189" s="6"/>
      <c r="BP189" s="6"/>
      <c r="BQ189" s="6"/>
      <c r="BR189" s="6"/>
      <c r="BS189" s="6"/>
      <c r="CE189" s="1"/>
      <c r="CI189" s="1"/>
    </row>
    <row r="190" spans="52:87">
      <c r="AZ190" s="1"/>
      <c r="BF190" s="6"/>
      <c r="BG190" s="6"/>
      <c r="BP190" s="6"/>
      <c r="BQ190" s="6"/>
      <c r="BR190" s="6"/>
      <c r="BS190" s="6"/>
      <c r="CE190" s="1"/>
      <c r="CI190" s="1"/>
    </row>
    <row r="191" spans="52:87">
      <c r="AZ191" s="1"/>
      <c r="BF191" s="6"/>
      <c r="BG191" s="6"/>
      <c r="BP191" s="6"/>
      <c r="BQ191" s="6"/>
      <c r="BR191" s="6"/>
      <c r="BS191" s="6"/>
      <c r="CE191" s="1"/>
      <c r="CI191" s="1"/>
    </row>
    <row r="192" spans="52:87">
      <c r="AZ192" s="1"/>
      <c r="BF192" s="6"/>
      <c r="BG192" s="6"/>
      <c r="BP192" s="6"/>
      <c r="BQ192" s="6"/>
      <c r="BR192" s="6"/>
      <c r="BS192" s="6"/>
      <c r="CE192" s="1"/>
      <c r="CI192" s="1"/>
    </row>
    <row r="193" spans="52:87">
      <c r="AZ193" s="1"/>
      <c r="BF193" s="6"/>
      <c r="BG193" s="6"/>
      <c r="BP193" s="6"/>
      <c r="BQ193" s="6"/>
      <c r="BR193" s="6"/>
      <c r="BS193" s="6"/>
      <c r="CE193" s="1"/>
      <c r="CI193" s="1"/>
    </row>
    <row r="194" spans="52:87">
      <c r="AZ194" s="1"/>
      <c r="BF194" s="6"/>
      <c r="BG194" s="6"/>
      <c r="BP194" s="6"/>
      <c r="BQ194" s="6"/>
      <c r="BR194" s="6"/>
      <c r="BS194" s="6"/>
      <c r="CE194" s="1"/>
      <c r="CI194" s="1"/>
    </row>
    <row r="195" spans="52:87">
      <c r="AZ195" s="1"/>
      <c r="BF195" s="6"/>
      <c r="BG195" s="6"/>
      <c r="BP195" s="6"/>
      <c r="BQ195" s="6"/>
      <c r="BR195" s="6"/>
      <c r="BS195" s="6"/>
      <c r="CE195" s="1"/>
      <c r="CI195" s="1"/>
    </row>
    <row r="196" spans="52:87">
      <c r="AZ196" s="1"/>
      <c r="BF196" s="6"/>
      <c r="BG196" s="6"/>
      <c r="BP196" s="6"/>
      <c r="BQ196" s="6"/>
      <c r="BR196" s="6"/>
      <c r="BS196" s="6"/>
      <c r="CE196" s="1"/>
      <c r="CI196" s="1"/>
    </row>
    <row r="197" spans="52:87">
      <c r="AZ197" s="1"/>
      <c r="BF197" s="6"/>
      <c r="BG197" s="6"/>
      <c r="BP197" s="6"/>
      <c r="BQ197" s="6"/>
      <c r="BR197" s="6"/>
      <c r="BS197" s="6"/>
      <c r="CE197" s="1"/>
      <c r="CI197" s="1"/>
    </row>
    <row r="198" spans="52:87">
      <c r="AZ198" s="1"/>
      <c r="BF198" s="6"/>
      <c r="BG198" s="6"/>
      <c r="BP198" s="6"/>
      <c r="BQ198" s="6"/>
      <c r="BR198" s="6"/>
      <c r="BS198" s="6"/>
      <c r="CE198" s="1"/>
      <c r="CI198" s="1"/>
    </row>
    <row r="199" spans="52:87">
      <c r="AZ199" s="1"/>
      <c r="BF199" s="6"/>
      <c r="BG199" s="6"/>
      <c r="BP199" s="6"/>
      <c r="BQ199" s="6"/>
      <c r="BR199" s="6"/>
      <c r="BS199" s="6"/>
      <c r="CE199" s="1"/>
      <c r="CI199" s="1"/>
    </row>
    <row r="200" spans="52:87">
      <c r="AZ200" s="1"/>
      <c r="BF200" s="6"/>
      <c r="BG200" s="6"/>
      <c r="BP200" s="6"/>
      <c r="BQ200" s="6"/>
      <c r="BR200" s="6"/>
      <c r="BS200" s="6"/>
      <c r="CE200" s="1"/>
      <c r="CI200" s="1"/>
    </row>
    <row r="201" spans="52:87">
      <c r="AZ201" s="1"/>
      <c r="BF201" s="6"/>
      <c r="BG201" s="6"/>
      <c r="BP201" s="6"/>
      <c r="BQ201" s="6"/>
      <c r="BR201" s="6"/>
      <c r="BS201" s="6"/>
      <c r="CE201" s="1"/>
      <c r="CI201" s="1"/>
    </row>
    <row r="202" spans="52:87">
      <c r="AZ202" s="1"/>
      <c r="BF202" s="6"/>
      <c r="BG202" s="6"/>
      <c r="BP202" s="6"/>
      <c r="BQ202" s="6"/>
      <c r="BR202" s="6"/>
      <c r="BS202" s="6"/>
      <c r="CE202" s="1"/>
      <c r="CI202" s="1"/>
    </row>
    <row r="203" spans="52:87">
      <c r="AZ203" s="1"/>
      <c r="BF203" s="6"/>
      <c r="BG203" s="6"/>
      <c r="BP203" s="6"/>
      <c r="BQ203" s="6"/>
      <c r="BR203" s="6"/>
      <c r="BS203" s="6"/>
      <c r="CE203" s="1"/>
      <c r="CI203" s="1"/>
    </row>
    <row r="204" spans="52:87">
      <c r="AZ204" s="1"/>
      <c r="BF204" s="6"/>
      <c r="BG204" s="6"/>
      <c r="BP204" s="6"/>
      <c r="BQ204" s="6"/>
      <c r="BR204" s="6"/>
      <c r="BS204" s="6"/>
      <c r="CE204" s="1"/>
      <c r="CI204" s="1"/>
    </row>
    <row r="205" spans="52:87">
      <c r="AZ205" s="1"/>
      <c r="BF205" s="6"/>
      <c r="BG205" s="6"/>
      <c r="BP205" s="6"/>
      <c r="BQ205" s="6"/>
      <c r="BR205" s="6"/>
      <c r="BS205" s="6"/>
      <c r="CE205" s="1"/>
      <c r="CI205" s="1"/>
    </row>
    <row r="206" spans="52:87">
      <c r="AZ206" s="1"/>
      <c r="BF206" s="6"/>
      <c r="BG206" s="6"/>
      <c r="BP206" s="6"/>
      <c r="BQ206" s="6"/>
      <c r="BR206" s="6"/>
      <c r="BS206" s="6"/>
      <c r="CE206" s="1"/>
      <c r="CI206" s="1"/>
    </row>
    <row r="207" spans="52:87">
      <c r="AZ207" s="1"/>
      <c r="BF207" s="6"/>
      <c r="BG207" s="6"/>
      <c r="BP207" s="6"/>
      <c r="BQ207" s="6"/>
      <c r="BR207" s="6"/>
      <c r="BS207" s="6"/>
      <c r="CE207" s="1"/>
      <c r="CI207" s="1"/>
    </row>
    <row r="208" spans="52:87">
      <c r="AZ208" s="1"/>
      <c r="BF208" s="6"/>
      <c r="BG208" s="6"/>
      <c r="BP208" s="6"/>
      <c r="BQ208" s="6"/>
      <c r="BR208" s="6"/>
      <c r="BS208" s="6"/>
      <c r="CE208" s="1"/>
      <c r="CI208" s="1"/>
    </row>
    <row r="209" spans="52:87">
      <c r="AZ209" s="1"/>
      <c r="BF209" s="6"/>
      <c r="BG209" s="6"/>
      <c r="BP209" s="6"/>
      <c r="BQ209" s="6"/>
      <c r="BR209" s="6"/>
      <c r="BS209" s="6"/>
      <c r="CE209" s="1"/>
      <c r="CI209" s="1"/>
    </row>
    <row r="210" spans="52:87">
      <c r="AZ210" s="1"/>
      <c r="BF210" s="6"/>
      <c r="BG210" s="6"/>
      <c r="BP210" s="6"/>
      <c r="BQ210" s="6"/>
      <c r="BR210" s="6"/>
      <c r="BS210" s="6"/>
      <c r="CE210" s="1"/>
      <c r="CI210" s="1"/>
    </row>
    <row r="211" spans="52:87">
      <c r="AZ211" s="1"/>
      <c r="BF211" s="6"/>
      <c r="BG211" s="6"/>
      <c r="BP211" s="6"/>
      <c r="BQ211" s="6"/>
      <c r="BR211" s="6"/>
      <c r="BS211" s="6"/>
      <c r="CE211" s="1"/>
      <c r="CI211" s="1"/>
    </row>
    <row r="212" spans="52:87">
      <c r="AZ212" s="1"/>
      <c r="BF212" s="6"/>
      <c r="BG212" s="6"/>
      <c r="BP212" s="6"/>
      <c r="BQ212" s="6"/>
      <c r="BR212" s="6"/>
      <c r="BS212" s="6"/>
      <c r="CE212" s="1"/>
      <c r="CI212" s="1"/>
    </row>
    <row r="213" spans="52:87">
      <c r="AZ213" s="1"/>
      <c r="BF213" s="6"/>
      <c r="BG213" s="6"/>
      <c r="BP213" s="6"/>
      <c r="BQ213" s="6"/>
      <c r="BR213" s="6"/>
      <c r="BS213" s="6"/>
      <c r="CE213" s="1"/>
      <c r="CI213" s="1"/>
    </row>
    <row r="214" spans="52:87">
      <c r="AZ214" s="1"/>
      <c r="BF214" s="6"/>
      <c r="BG214" s="6"/>
      <c r="BP214" s="6"/>
      <c r="BQ214" s="6"/>
      <c r="BR214" s="6"/>
      <c r="BS214" s="6"/>
      <c r="CE214" s="1"/>
      <c r="CI214" s="1"/>
    </row>
    <row r="215" spans="52:87">
      <c r="AZ215" s="1"/>
      <c r="BF215" s="6"/>
      <c r="BG215" s="6"/>
      <c r="BP215" s="6"/>
      <c r="BQ215" s="6"/>
      <c r="BR215" s="6"/>
      <c r="BS215" s="6"/>
      <c r="CE215" s="1"/>
      <c r="CI215" s="1"/>
    </row>
    <row r="216" spans="52:87">
      <c r="AZ216" s="1"/>
      <c r="BF216" s="6"/>
      <c r="BG216" s="6"/>
      <c r="BP216" s="6"/>
      <c r="BQ216" s="6"/>
      <c r="BR216" s="6"/>
      <c r="BS216" s="6"/>
      <c r="CE216" s="1"/>
      <c r="CI216" s="1"/>
    </row>
    <row r="217" spans="52:87">
      <c r="AZ217" s="1"/>
      <c r="BF217" s="6"/>
      <c r="BG217" s="6"/>
      <c r="BP217" s="6"/>
      <c r="BQ217" s="6"/>
      <c r="BR217" s="6"/>
      <c r="BS217" s="6"/>
      <c r="CE217" s="1"/>
      <c r="CI217" s="1"/>
    </row>
    <row r="218" spans="52:87">
      <c r="AZ218" s="1"/>
      <c r="BF218" s="6"/>
      <c r="BG218" s="6"/>
      <c r="BP218" s="6"/>
      <c r="BQ218" s="6"/>
      <c r="BR218" s="6"/>
      <c r="BS218" s="6"/>
      <c r="CE218" s="1"/>
      <c r="CI218" s="1"/>
    </row>
    <row r="219" spans="52:87">
      <c r="AZ219" s="1"/>
      <c r="BF219" s="6"/>
      <c r="BG219" s="6"/>
      <c r="BP219" s="6"/>
      <c r="BQ219" s="6"/>
      <c r="BR219" s="6"/>
      <c r="BS219" s="6"/>
      <c r="CE219" s="1"/>
      <c r="CI219" s="1"/>
    </row>
    <row r="220" spans="52:87">
      <c r="AZ220" s="1"/>
      <c r="BF220" s="6"/>
      <c r="BG220" s="6"/>
      <c r="BP220" s="6"/>
      <c r="BQ220" s="6"/>
      <c r="BR220" s="6"/>
      <c r="BS220" s="6"/>
      <c r="CE220" s="1"/>
      <c r="CI220" s="1"/>
    </row>
    <row r="221" spans="52:87">
      <c r="AZ221" s="1"/>
      <c r="BF221" s="6"/>
      <c r="BG221" s="6"/>
      <c r="BP221" s="6"/>
      <c r="BQ221" s="6"/>
      <c r="BR221" s="6"/>
      <c r="BS221" s="6"/>
      <c r="CE221" s="1"/>
      <c r="CI221" s="1"/>
    </row>
    <row r="222" spans="52:87">
      <c r="AZ222" s="1"/>
      <c r="BF222" s="6"/>
      <c r="BG222" s="6"/>
      <c r="BP222" s="6"/>
      <c r="BQ222" s="6"/>
      <c r="BR222" s="6"/>
      <c r="BS222" s="6"/>
      <c r="CE222" s="1"/>
      <c r="CI222" s="1"/>
    </row>
    <row r="223" spans="52:87">
      <c r="AZ223" s="1"/>
      <c r="BF223" s="6"/>
      <c r="BG223" s="6"/>
      <c r="BP223" s="6"/>
      <c r="BQ223" s="6"/>
      <c r="BR223" s="6"/>
      <c r="BS223" s="6"/>
      <c r="CE223" s="1"/>
      <c r="CI223" s="1"/>
    </row>
    <row r="224" spans="52:87">
      <c r="AZ224" s="1"/>
      <c r="BF224" s="6"/>
      <c r="BG224" s="6"/>
      <c r="BP224" s="6"/>
      <c r="BQ224" s="6"/>
      <c r="BR224" s="6"/>
      <c r="BS224" s="6"/>
      <c r="CE224" s="1"/>
      <c r="CI224" s="1"/>
    </row>
    <row r="225" spans="52:87">
      <c r="AZ225" s="1"/>
      <c r="BF225" s="6"/>
      <c r="BG225" s="6"/>
      <c r="BP225" s="6"/>
      <c r="BQ225" s="6"/>
      <c r="BR225" s="6"/>
      <c r="BS225" s="6"/>
      <c r="CE225" s="1"/>
      <c r="CI225" s="1"/>
    </row>
    <row r="226" spans="52:87">
      <c r="AZ226" s="1"/>
      <c r="BF226" s="6"/>
      <c r="BG226" s="6"/>
      <c r="BP226" s="6"/>
      <c r="BQ226" s="6"/>
      <c r="BR226" s="6"/>
      <c r="BS226" s="6"/>
      <c r="CE226" s="1"/>
      <c r="CI226" s="1"/>
    </row>
    <row r="227" spans="52:87">
      <c r="AZ227" s="1"/>
      <c r="BF227" s="6"/>
      <c r="BG227" s="6"/>
      <c r="BP227" s="6"/>
      <c r="BQ227" s="6"/>
      <c r="BR227" s="6"/>
      <c r="BS227" s="6"/>
      <c r="CE227" s="1"/>
      <c r="CI227" s="1"/>
    </row>
    <row r="228" spans="52:87">
      <c r="AZ228" s="1"/>
      <c r="BF228" s="6"/>
      <c r="BG228" s="6"/>
      <c r="BP228" s="6"/>
      <c r="BQ228" s="6"/>
      <c r="BR228" s="6"/>
      <c r="BS228" s="6"/>
      <c r="CE228" s="1"/>
      <c r="CI228" s="1"/>
    </row>
    <row r="229" spans="52:87">
      <c r="AZ229" s="1"/>
      <c r="BF229" s="6"/>
      <c r="BG229" s="6"/>
      <c r="BP229" s="6"/>
      <c r="BQ229" s="6"/>
      <c r="BR229" s="6"/>
      <c r="BS229" s="6"/>
      <c r="CE229" s="1"/>
      <c r="CI229" s="1"/>
    </row>
    <row r="230" spans="52:87">
      <c r="AZ230" s="1"/>
      <c r="BF230" s="6"/>
      <c r="BG230" s="6"/>
      <c r="BP230" s="6"/>
      <c r="BQ230" s="6"/>
      <c r="BR230" s="6"/>
      <c r="BS230" s="6"/>
      <c r="CE230" s="1"/>
      <c r="CI230" s="1"/>
    </row>
    <row r="231" spans="52:87">
      <c r="AZ231" s="1"/>
      <c r="BF231" s="6"/>
      <c r="BG231" s="6"/>
      <c r="BP231" s="6"/>
      <c r="BQ231" s="6"/>
      <c r="BR231" s="6"/>
      <c r="BS231" s="6"/>
      <c r="CE231" s="1"/>
      <c r="CI231" s="1"/>
    </row>
    <row r="232" spans="52:87">
      <c r="AZ232" s="1"/>
      <c r="BF232" s="6"/>
      <c r="BG232" s="6"/>
      <c r="BP232" s="6"/>
      <c r="BQ232" s="6"/>
      <c r="BR232" s="6"/>
      <c r="BS232" s="6"/>
      <c r="CE232" s="1"/>
      <c r="CI232" s="1"/>
    </row>
    <row r="233" spans="52:87">
      <c r="AZ233" s="1"/>
      <c r="BF233" s="6"/>
      <c r="BG233" s="6"/>
      <c r="BP233" s="6"/>
      <c r="BQ233" s="6"/>
      <c r="BR233" s="6"/>
      <c r="BS233" s="6"/>
      <c r="CE233" s="1"/>
      <c r="CI233" s="1"/>
    </row>
    <row r="234" spans="52:87">
      <c r="AZ234" s="1"/>
      <c r="BF234" s="6"/>
      <c r="BG234" s="6"/>
      <c r="BP234" s="6"/>
      <c r="BQ234" s="6"/>
      <c r="BR234" s="6"/>
      <c r="BS234" s="6"/>
      <c r="CE234" s="1"/>
      <c r="CI234" s="1"/>
    </row>
    <row r="235" spans="52:87">
      <c r="AZ235" s="1"/>
      <c r="BF235" s="6"/>
      <c r="BG235" s="6"/>
      <c r="BP235" s="6"/>
      <c r="BQ235" s="6"/>
      <c r="BR235" s="6"/>
      <c r="BS235" s="6"/>
      <c r="CE235" s="1"/>
      <c r="CI235" s="1"/>
    </row>
    <row r="236" spans="52:87">
      <c r="AZ236" s="1"/>
      <c r="BF236" s="6"/>
      <c r="BG236" s="6"/>
      <c r="BP236" s="6"/>
      <c r="BQ236" s="6"/>
      <c r="BR236" s="6"/>
      <c r="BS236" s="6"/>
      <c r="CE236" s="1"/>
      <c r="CI236" s="1"/>
    </row>
    <row r="237" spans="52:87">
      <c r="AZ237" s="1"/>
      <c r="BF237" s="6"/>
      <c r="BG237" s="6"/>
      <c r="BP237" s="6"/>
      <c r="BQ237" s="6"/>
      <c r="BR237" s="6"/>
      <c r="BS237" s="6"/>
      <c r="CE237" s="1"/>
      <c r="CI237" s="1"/>
    </row>
    <row r="238" spans="52:87">
      <c r="AZ238" s="1"/>
      <c r="BF238" s="6"/>
      <c r="BG238" s="6"/>
      <c r="BP238" s="6"/>
      <c r="BQ238" s="6"/>
      <c r="BR238" s="6"/>
      <c r="BS238" s="6"/>
      <c r="CE238" s="1"/>
      <c r="CI238" s="1"/>
    </row>
    <row r="239" spans="52:87">
      <c r="AZ239" s="1"/>
      <c r="BF239" s="6"/>
      <c r="BG239" s="6"/>
      <c r="BP239" s="6"/>
      <c r="BQ239" s="6"/>
      <c r="BR239" s="6"/>
      <c r="BS239" s="6"/>
      <c r="CE239" s="1"/>
      <c r="CI239" s="1"/>
    </row>
    <row r="240" spans="52:87">
      <c r="AZ240" s="1"/>
      <c r="BF240" s="6"/>
      <c r="BG240" s="6"/>
      <c r="BP240" s="6"/>
      <c r="BQ240" s="6"/>
      <c r="BR240" s="6"/>
      <c r="BS240" s="6"/>
      <c r="CE240" s="1"/>
      <c r="CI240" s="1"/>
    </row>
    <row r="241" spans="52:87">
      <c r="AZ241" s="1"/>
      <c r="BF241" s="6"/>
      <c r="BG241" s="6"/>
      <c r="BP241" s="6"/>
      <c r="BQ241" s="6"/>
      <c r="BR241" s="6"/>
      <c r="BS241" s="6"/>
      <c r="CE241" s="1"/>
      <c r="CI241" s="1"/>
    </row>
    <row r="242" spans="52:87">
      <c r="AZ242" s="1"/>
      <c r="BF242" s="6"/>
      <c r="BG242" s="6"/>
      <c r="BP242" s="6"/>
      <c r="BQ242" s="6"/>
      <c r="BR242" s="6"/>
      <c r="BS242" s="6"/>
      <c r="CE242" s="1"/>
      <c r="CI242" s="1"/>
    </row>
    <row r="243" spans="52:87">
      <c r="AZ243" s="1"/>
      <c r="BF243" s="6"/>
      <c r="BG243" s="6"/>
      <c r="BP243" s="6"/>
      <c r="BQ243" s="6"/>
      <c r="BR243" s="6"/>
      <c r="BS243" s="6"/>
      <c r="CE243" s="1"/>
      <c r="CI243" s="1"/>
    </row>
    <row r="244" spans="52:87">
      <c r="AZ244" s="1"/>
      <c r="BF244" s="6"/>
      <c r="BG244" s="6"/>
      <c r="BP244" s="6"/>
      <c r="BQ244" s="6"/>
      <c r="BR244" s="6"/>
      <c r="BS244" s="6"/>
      <c r="CE244" s="1"/>
      <c r="CI244" s="1"/>
    </row>
    <row r="245" spans="52:87">
      <c r="AZ245" s="1"/>
      <c r="BF245" s="6"/>
      <c r="BG245" s="6"/>
      <c r="BP245" s="6"/>
      <c r="BQ245" s="6"/>
      <c r="BR245" s="6"/>
      <c r="BS245" s="6"/>
      <c r="CE245" s="1"/>
      <c r="CI245" s="1"/>
    </row>
    <row r="246" spans="52:87">
      <c r="AZ246" s="1"/>
      <c r="BF246" s="6"/>
      <c r="BG246" s="6"/>
      <c r="BP246" s="6"/>
      <c r="BQ246" s="6"/>
      <c r="BR246" s="6"/>
      <c r="BS246" s="6"/>
      <c r="CE246" s="1"/>
      <c r="CI246" s="1"/>
    </row>
    <row r="247" spans="52:87">
      <c r="AZ247" s="1"/>
      <c r="BF247" s="6"/>
      <c r="BG247" s="6"/>
      <c r="BP247" s="6"/>
      <c r="BQ247" s="6"/>
      <c r="BR247" s="6"/>
      <c r="BS247" s="6"/>
      <c r="CE247" s="1"/>
      <c r="CI247" s="1"/>
    </row>
    <row r="248" spans="52:87">
      <c r="AZ248" s="1"/>
      <c r="BF248" s="6"/>
      <c r="BG248" s="6"/>
      <c r="BP248" s="6"/>
      <c r="BQ248" s="6"/>
      <c r="BR248" s="6"/>
      <c r="BS248" s="6"/>
      <c r="CE248" s="1"/>
      <c r="CI248" s="1"/>
    </row>
    <row r="249" spans="52:87">
      <c r="AZ249" s="1"/>
      <c r="BF249" s="6"/>
      <c r="BG249" s="6"/>
      <c r="BP249" s="6"/>
      <c r="BQ249" s="6"/>
      <c r="BR249" s="6"/>
      <c r="BS249" s="6"/>
      <c r="CE249" s="1"/>
      <c r="CI249" s="1"/>
    </row>
    <row r="250" spans="52:87">
      <c r="AZ250" s="1"/>
      <c r="BF250" s="6"/>
      <c r="BG250" s="6"/>
      <c r="BP250" s="6"/>
      <c r="BQ250" s="6"/>
      <c r="BR250" s="6"/>
      <c r="BS250" s="6"/>
      <c r="CE250" s="1"/>
      <c r="CI250" s="1"/>
    </row>
    <row r="251" spans="52:87">
      <c r="AZ251" s="1"/>
      <c r="BF251" s="6"/>
      <c r="BG251" s="6"/>
      <c r="BP251" s="6"/>
      <c r="BQ251" s="6"/>
      <c r="BR251" s="6"/>
      <c r="BS251" s="6"/>
      <c r="CE251" s="1"/>
      <c r="CI251" s="1"/>
    </row>
    <row r="252" spans="52:87">
      <c r="AZ252" s="1"/>
      <c r="BF252" s="6"/>
      <c r="BG252" s="6"/>
      <c r="BP252" s="6"/>
      <c r="BQ252" s="6"/>
      <c r="BR252" s="6"/>
      <c r="BS252" s="6"/>
      <c r="CE252" s="1"/>
      <c r="CI252" s="1"/>
    </row>
    <row r="253" spans="52:87">
      <c r="AZ253" s="1"/>
      <c r="BF253" s="6"/>
      <c r="BG253" s="6"/>
      <c r="BP253" s="6"/>
      <c r="BQ253" s="6"/>
      <c r="BR253" s="6"/>
      <c r="BS253" s="6"/>
      <c r="CE253" s="1"/>
      <c r="CI253" s="1"/>
    </row>
    <row r="254" spans="52:87">
      <c r="AZ254" s="1"/>
      <c r="BF254" s="6"/>
      <c r="BG254" s="6"/>
      <c r="BP254" s="6"/>
      <c r="BQ254" s="6"/>
      <c r="BR254" s="6"/>
      <c r="BS254" s="6"/>
      <c r="CE254" s="1"/>
      <c r="CI254" s="1"/>
    </row>
    <row r="255" spans="52:87">
      <c r="AZ255" s="1"/>
      <c r="BF255" s="6"/>
      <c r="BG255" s="6"/>
      <c r="BP255" s="6"/>
      <c r="BQ255" s="6"/>
      <c r="BR255" s="6"/>
      <c r="BS255" s="6"/>
      <c r="CE255" s="1"/>
      <c r="CI255" s="1"/>
    </row>
    <row r="256" spans="52:87">
      <c r="AZ256" s="1"/>
      <c r="BF256" s="6"/>
      <c r="BG256" s="6"/>
      <c r="BP256" s="6"/>
      <c r="BQ256" s="6"/>
      <c r="BR256" s="6"/>
      <c r="BS256" s="6"/>
      <c r="CE256" s="1"/>
      <c r="CI256" s="1"/>
    </row>
    <row r="257" spans="52:87">
      <c r="AZ257" s="1"/>
      <c r="BF257" s="6"/>
      <c r="BG257" s="6"/>
      <c r="BP257" s="6"/>
      <c r="BQ257" s="6"/>
      <c r="BR257" s="6"/>
      <c r="BS257" s="6"/>
      <c r="CE257" s="1"/>
      <c r="CI257" s="1"/>
    </row>
    <row r="258" spans="52:87">
      <c r="AZ258" s="1"/>
      <c r="BF258" s="6"/>
      <c r="BG258" s="6"/>
      <c r="BP258" s="6"/>
      <c r="BQ258" s="6"/>
      <c r="BR258" s="6"/>
      <c r="BS258" s="6"/>
      <c r="CE258" s="1"/>
      <c r="CI258" s="1"/>
    </row>
    <row r="259" spans="52:87">
      <c r="AZ259" s="1"/>
      <c r="BF259" s="6"/>
      <c r="BG259" s="6"/>
      <c r="BP259" s="6"/>
      <c r="BQ259" s="6"/>
      <c r="BR259" s="6"/>
      <c r="BS259" s="6"/>
      <c r="CE259" s="1"/>
      <c r="CI259" s="1"/>
    </row>
    <row r="260" spans="52:87">
      <c r="AZ260" s="1"/>
      <c r="BF260" s="6"/>
      <c r="BG260" s="6"/>
      <c r="BP260" s="6"/>
      <c r="BQ260" s="6"/>
      <c r="BR260" s="6"/>
      <c r="BS260" s="6"/>
      <c r="CE260" s="1"/>
      <c r="CI260" s="1"/>
    </row>
    <row r="261" spans="52:87">
      <c r="AZ261" s="1"/>
      <c r="BF261" s="6"/>
      <c r="BG261" s="6"/>
      <c r="BP261" s="6"/>
      <c r="BQ261" s="6"/>
      <c r="BR261" s="6"/>
      <c r="BS261" s="6"/>
      <c r="CE261" s="1"/>
      <c r="CI261" s="1"/>
    </row>
    <row r="262" spans="52:87">
      <c r="AZ262" s="1"/>
      <c r="BF262" s="6"/>
      <c r="BG262" s="6"/>
      <c r="BP262" s="6"/>
      <c r="BQ262" s="6"/>
      <c r="BR262" s="6"/>
      <c r="BS262" s="6"/>
      <c r="CE262" s="1"/>
      <c r="CI262" s="1"/>
    </row>
    <row r="263" spans="52:87">
      <c r="AZ263" s="1"/>
      <c r="BF263" s="6"/>
      <c r="BG263" s="6"/>
      <c r="BP263" s="6"/>
      <c r="BQ263" s="6"/>
      <c r="BR263" s="6"/>
      <c r="BS263" s="6"/>
      <c r="CE263" s="1"/>
      <c r="CI263" s="1"/>
    </row>
    <row r="264" spans="52:87">
      <c r="AZ264" s="1"/>
      <c r="BF264" s="6"/>
      <c r="BG264" s="6"/>
      <c r="BP264" s="6"/>
      <c r="BQ264" s="6"/>
      <c r="BR264" s="6"/>
      <c r="BS264" s="6"/>
      <c r="CE264" s="1"/>
      <c r="CI264" s="1"/>
    </row>
    <row r="265" spans="52:87">
      <c r="AZ265" s="1"/>
      <c r="BF265" s="6"/>
      <c r="BG265" s="6"/>
      <c r="BP265" s="6"/>
      <c r="BQ265" s="6"/>
      <c r="BR265" s="6"/>
      <c r="BS265" s="6"/>
      <c r="CE265" s="1"/>
      <c r="CI265" s="1"/>
    </row>
    <row r="266" spans="52:87">
      <c r="AZ266" s="1"/>
      <c r="BF266" s="6"/>
      <c r="BG266" s="6"/>
      <c r="BP266" s="6"/>
      <c r="BQ266" s="6"/>
      <c r="BR266" s="6"/>
      <c r="BS266" s="6"/>
      <c r="CE266" s="1"/>
      <c r="CI266" s="1"/>
    </row>
    <row r="267" spans="52:87">
      <c r="AZ267" s="1"/>
      <c r="BF267" s="6"/>
      <c r="BG267" s="6"/>
      <c r="BP267" s="6"/>
      <c r="BQ267" s="6"/>
      <c r="BR267" s="6"/>
      <c r="BS267" s="6"/>
      <c r="CE267" s="1"/>
      <c r="CI267" s="1"/>
    </row>
    <row r="268" spans="52:87">
      <c r="AZ268" s="1"/>
      <c r="BF268" s="6"/>
      <c r="BG268" s="6"/>
      <c r="BP268" s="6"/>
      <c r="BQ268" s="6"/>
      <c r="BR268" s="6"/>
      <c r="BS268" s="6"/>
      <c r="CE268" s="1"/>
      <c r="CI268" s="1"/>
    </row>
    <row r="269" spans="52:87">
      <c r="AZ269" s="1"/>
      <c r="BF269" s="6"/>
      <c r="BG269" s="6"/>
      <c r="BP269" s="6"/>
      <c r="BQ269" s="6"/>
      <c r="BR269" s="6"/>
      <c r="BS269" s="6"/>
      <c r="CE269" s="1"/>
      <c r="CI269" s="1"/>
    </row>
    <row r="270" spans="52:87">
      <c r="AZ270" s="1"/>
      <c r="BF270" s="6"/>
      <c r="BG270" s="6"/>
      <c r="BP270" s="6"/>
      <c r="BQ270" s="6"/>
      <c r="BR270" s="6"/>
      <c r="BS270" s="6"/>
      <c r="CE270" s="1"/>
      <c r="CI270" s="1"/>
    </row>
    <row r="271" spans="52:87">
      <c r="AZ271" s="1"/>
      <c r="BF271" s="6"/>
      <c r="BG271" s="6"/>
      <c r="BP271" s="6"/>
      <c r="BQ271" s="6"/>
      <c r="BR271" s="6"/>
      <c r="BS271" s="6"/>
      <c r="CE271" s="1"/>
      <c r="CI271" s="1"/>
    </row>
    <row r="272" spans="52:87">
      <c r="AZ272" s="1"/>
      <c r="BF272" s="6"/>
      <c r="BG272" s="6"/>
      <c r="BP272" s="6"/>
      <c r="BQ272" s="6"/>
      <c r="BR272" s="6"/>
      <c r="BS272" s="6"/>
      <c r="CE272" s="1"/>
      <c r="CI272" s="1"/>
    </row>
    <row r="273" spans="52:87">
      <c r="AZ273" s="1"/>
      <c r="BF273" s="6"/>
      <c r="BG273" s="6"/>
      <c r="BP273" s="6"/>
      <c r="BQ273" s="6"/>
      <c r="BR273" s="6"/>
      <c r="BS273" s="6"/>
      <c r="CE273" s="1"/>
      <c r="CI273" s="1"/>
    </row>
    <row r="274" spans="52:87">
      <c r="AZ274" s="1"/>
      <c r="BF274" s="6"/>
      <c r="BG274" s="6"/>
      <c r="BP274" s="6"/>
      <c r="BQ274" s="6"/>
      <c r="BR274" s="6"/>
      <c r="BS274" s="6"/>
      <c r="CE274" s="1"/>
      <c r="CI274" s="1"/>
    </row>
    <row r="275" spans="52:87">
      <c r="AZ275" s="1"/>
      <c r="BF275" s="6"/>
      <c r="BG275" s="6"/>
      <c r="BP275" s="6"/>
      <c r="BQ275" s="6"/>
      <c r="BR275" s="6"/>
      <c r="BS275" s="6"/>
      <c r="CE275" s="1"/>
      <c r="CI275" s="1"/>
    </row>
    <row r="276" spans="52:87">
      <c r="AZ276" s="1"/>
      <c r="BF276" s="6"/>
      <c r="BG276" s="6"/>
      <c r="BP276" s="6"/>
      <c r="BQ276" s="6"/>
      <c r="BR276" s="6"/>
      <c r="BS276" s="6"/>
      <c r="CE276" s="1"/>
      <c r="CI276" s="1"/>
    </row>
    <row r="277" spans="52:87">
      <c r="AZ277" s="1"/>
      <c r="BF277" s="6"/>
      <c r="BG277" s="6"/>
      <c r="BP277" s="6"/>
      <c r="BQ277" s="6"/>
      <c r="BR277" s="6"/>
      <c r="BS277" s="6"/>
      <c r="CE277" s="1"/>
      <c r="CI277" s="1"/>
    </row>
    <row r="278" spans="52:87">
      <c r="AZ278" s="1"/>
      <c r="BF278" s="6"/>
      <c r="BG278" s="6"/>
      <c r="BP278" s="6"/>
      <c r="BQ278" s="6"/>
      <c r="BR278" s="6"/>
      <c r="BS278" s="6"/>
      <c r="CE278" s="1"/>
      <c r="CI278" s="1"/>
    </row>
    <row r="279" spans="52:87">
      <c r="AZ279" s="1"/>
      <c r="BF279" s="6"/>
      <c r="BG279" s="6"/>
      <c r="BP279" s="6"/>
      <c r="BQ279" s="6"/>
      <c r="BR279" s="6"/>
      <c r="BS279" s="6"/>
      <c r="CE279" s="1"/>
      <c r="CI279" s="1"/>
    </row>
    <row r="280" spans="52:87">
      <c r="AZ280" s="1"/>
      <c r="BF280" s="6"/>
      <c r="BG280" s="6"/>
      <c r="BP280" s="6"/>
      <c r="BQ280" s="6"/>
      <c r="BR280" s="6"/>
      <c r="BS280" s="6"/>
      <c r="CE280" s="1"/>
      <c r="CI280" s="1"/>
    </row>
    <row r="281" spans="52:87">
      <c r="AZ281" s="1"/>
      <c r="BF281" s="6"/>
      <c r="BG281" s="6"/>
      <c r="BP281" s="6"/>
      <c r="BQ281" s="6"/>
      <c r="BR281" s="6"/>
      <c r="BS281" s="6"/>
      <c r="CE281" s="1"/>
      <c r="CI281" s="1"/>
    </row>
    <row r="282" spans="52:87">
      <c r="AZ282" s="1"/>
      <c r="BF282" s="6"/>
      <c r="BG282" s="6"/>
      <c r="BP282" s="6"/>
      <c r="BQ282" s="6"/>
      <c r="BR282" s="6"/>
      <c r="BS282" s="6"/>
      <c r="CE282" s="1"/>
      <c r="CI282" s="1"/>
    </row>
    <row r="283" spans="52:87">
      <c r="AZ283" s="1"/>
      <c r="BF283" s="6"/>
      <c r="BG283" s="6"/>
      <c r="BP283" s="6"/>
      <c r="BQ283" s="6"/>
      <c r="BR283" s="6"/>
      <c r="BS283" s="6"/>
      <c r="CE283" s="1"/>
      <c r="CI283" s="1"/>
    </row>
    <row r="284" spans="52:87">
      <c r="AZ284" s="1"/>
      <c r="BF284" s="6"/>
      <c r="BG284" s="6"/>
      <c r="BP284" s="6"/>
      <c r="BQ284" s="6"/>
      <c r="BR284" s="6"/>
      <c r="BS284" s="6"/>
      <c r="CE284" s="1"/>
      <c r="CI284" s="1"/>
    </row>
    <row r="285" spans="52:87">
      <c r="AZ285" s="1"/>
      <c r="BF285" s="6"/>
      <c r="BG285" s="6"/>
      <c r="BP285" s="6"/>
      <c r="BQ285" s="6"/>
      <c r="BR285" s="6"/>
      <c r="BS285" s="6"/>
      <c r="CE285" s="1"/>
      <c r="CI285" s="1"/>
    </row>
    <row r="286" spans="52:87">
      <c r="AZ286" s="1"/>
      <c r="BF286" s="6"/>
      <c r="BG286" s="6"/>
      <c r="BP286" s="6"/>
      <c r="BQ286" s="6"/>
      <c r="BR286" s="6"/>
      <c r="BS286" s="6"/>
      <c r="CE286" s="1"/>
      <c r="CI286" s="1"/>
    </row>
    <row r="287" spans="52:87">
      <c r="AZ287" s="1"/>
      <c r="BF287" s="6"/>
      <c r="BG287" s="6"/>
      <c r="BP287" s="6"/>
      <c r="BQ287" s="6"/>
      <c r="BR287" s="6"/>
      <c r="BS287" s="6"/>
      <c r="CE287" s="1"/>
      <c r="CI287" s="1"/>
    </row>
    <row r="288" spans="52:87">
      <c r="AZ288" s="1"/>
      <c r="BF288" s="6"/>
      <c r="BG288" s="6"/>
      <c r="BP288" s="6"/>
      <c r="BQ288" s="6"/>
      <c r="BR288" s="6"/>
      <c r="BS288" s="6"/>
      <c r="CE288" s="1"/>
      <c r="CI288" s="1"/>
    </row>
    <row r="289" spans="52:87">
      <c r="AZ289" s="1"/>
      <c r="BF289" s="6"/>
      <c r="BG289" s="6"/>
      <c r="BP289" s="6"/>
      <c r="BQ289" s="6"/>
      <c r="BR289" s="6"/>
      <c r="BS289" s="6"/>
      <c r="CE289" s="1"/>
      <c r="CI289" s="1"/>
    </row>
    <row r="290" spans="52:87">
      <c r="AZ290" s="1"/>
      <c r="BF290" s="6"/>
      <c r="BG290" s="6"/>
      <c r="BP290" s="6"/>
      <c r="BQ290" s="6"/>
      <c r="BR290" s="6"/>
      <c r="BS290" s="6"/>
      <c r="CE290" s="1"/>
      <c r="CI290" s="1"/>
    </row>
    <row r="291" spans="52:87">
      <c r="AZ291" s="1"/>
      <c r="BF291" s="6"/>
      <c r="BG291" s="6"/>
      <c r="BP291" s="6"/>
      <c r="BQ291" s="6"/>
      <c r="BR291" s="6"/>
      <c r="BS291" s="6"/>
      <c r="CE291" s="1"/>
      <c r="CI291" s="1"/>
    </row>
    <row r="292" spans="52:87">
      <c r="AZ292" s="1"/>
      <c r="BF292" s="6"/>
      <c r="BG292" s="6"/>
      <c r="BP292" s="6"/>
      <c r="BQ292" s="6"/>
      <c r="BR292" s="6"/>
      <c r="BS292" s="6"/>
      <c r="CE292" s="1"/>
      <c r="CI292" s="1"/>
    </row>
    <row r="293" spans="52:87">
      <c r="AZ293" s="1"/>
      <c r="BF293" s="6"/>
      <c r="BG293" s="6"/>
      <c r="BP293" s="6"/>
      <c r="BQ293" s="6"/>
      <c r="BR293" s="6"/>
      <c r="BS293" s="6"/>
      <c r="CE293" s="1"/>
      <c r="CI293" s="1"/>
    </row>
    <row r="294" spans="52:87">
      <c r="AZ294" s="1"/>
      <c r="BF294" s="6"/>
      <c r="BG294" s="6"/>
      <c r="BP294" s="6"/>
      <c r="BQ294" s="6"/>
      <c r="BR294" s="6"/>
      <c r="BS294" s="6"/>
      <c r="CE294" s="1"/>
      <c r="CI294" s="1"/>
    </row>
    <row r="295" spans="52:87">
      <c r="AZ295" s="1"/>
      <c r="BF295" s="6"/>
      <c r="BG295" s="6"/>
      <c r="BP295" s="6"/>
      <c r="BQ295" s="6"/>
      <c r="BR295" s="6"/>
      <c r="BS295" s="6"/>
      <c r="CE295" s="1"/>
      <c r="CI295" s="1"/>
    </row>
    <row r="296" spans="52:87">
      <c r="AZ296" s="1"/>
      <c r="BF296" s="6"/>
      <c r="BG296" s="6"/>
      <c r="BP296" s="6"/>
      <c r="BQ296" s="6"/>
      <c r="BR296" s="6"/>
      <c r="BS296" s="6"/>
      <c r="CE296" s="1"/>
      <c r="CI296" s="1"/>
    </row>
    <row r="297" spans="52:87">
      <c r="AZ297" s="1"/>
      <c r="BF297" s="6"/>
      <c r="BG297" s="6"/>
      <c r="BP297" s="6"/>
      <c r="BQ297" s="6"/>
      <c r="BR297" s="6"/>
      <c r="BS297" s="6"/>
      <c r="CE297" s="1"/>
      <c r="CI297" s="1"/>
    </row>
    <row r="298" spans="52:87">
      <c r="AZ298" s="1"/>
      <c r="BF298" s="6"/>
      <c r="BG298" s="6"/>
      <c r="BP298" s="6"/>
      <c r="BQ298" s="6"/>
      <c r="BR298" s="6"/>
      <c r="BS298" s="6"/>
      <c r="CE298" s="1"/>
      <c r="CI298" s="1"/>
    </row>
    <row r="299" spans="52:87">
      <c r="AZ299" s="1"/>
      <c r="BF299" s="6"/>
      <c r="BG299" s="6"/>
      <c r="BP299" s="6"/>
      <c r="BQ299" s="6"/>
      <c r="BR299" s="6"/>
      <c r="BS299" s="6"/>
      <c r="CE299" s="1"/>
      <c r="CI299" s="1"/>
    </row>
    <row r="300" spans="52:87">
      <c r="AZ300" s="1"/>
      <c r="BF300" s="6"/>
      <c r="BG300" s="6"/>
      <c r="BP300" s="6"/>
      <c r="BQ300" s="6"/>
      <c r="BR300" s="6"/>
      <c r="BS300" s="6"/>
      <c r="CE300" s="1"/>
      <c r="CI300" s="1"/>
    </row>
    <row r="301" spans="52:87">
      <c r="AZ301" s="1"/>
      <c r="BF301" s="6"/>
      <c r="BG301" s="6"/>
      <c r="BP301" s="6"/>
      <c r="BQ301" s="6"/>
      <c r="BR301" s="6"/>
      <c r="BS301" s="6"/>
      <c r="CE301" s="1"/>
      <c r="CI301" s="1"/>
    </row>
    <row r="302" spans="52:87">
      <c r="AZ302" s="1"/>
      <c r="BF302" s="6"/>
      <c r="BG302" s="6"/>
      <c r="BP302" s="6"/>
      <c r="BQ302" s="6"/>
      <c r="BR302" s="6"/>
      <c r="BS302" s="6"/>
      <c r="CE302" s="1"/>
      <c r="CI302" s="1"/>
    </row>
    <row r="303" spans="52:87">
      <c r="AZ303" s="1"/>
      <c r="BF303" s="6"/>
      <c r="BG303" s="6"/>
      <c r="BP303" s="6"/>
      <c r="BQ303" s="6"/>
      <c r="BR303" s="6"/>
      <c r="BS303" s="6"/>
      <c r="CE303" s="1"/>
      <c r="CI303" s="1"/>
    </row>
    <row r="304" spans="52:87">
      <c r="AZ304" s="1"/>
      <c r="BF304" s="6"/>
      <c r="BG304" s="6"/>
      <c r="BP304" s="6"/>
      <c r="BQ304" s="6"/>
      <c r="BR304" s="6"/>
      <c r="BS304" s="6"/>
      <c r="CE304" s="1"/>
      <c r="CI304" s="1"/>
    </row>
    <row r="305" spans="52:87">
      <c r="AZ305" s="1"/>
      <c r="BF305" s="6"/>
      <c r="BG305" s="6"/>
      <c r="BP305" s="6"/>
      <c r="BQ305" s="6"/>
      <c r="BR305" s="6"/>
      <c r="BS305" s="6"/>
      <c r="CE305" s="1"/>
      <c r="CI305" s="1"/>
    </row>
    <row r="306" spans="52:87">
      <c r="AZ306" s="1"/>
      <c r="BF306" s="6"/>
      <c r="BG306" s="6"/>
      <c r="BP306" s="6"/>
      <c r="BQ306" s="6"/>
      <c r="BR306" s="6"/>
      <c r="BS306" s="6"/>
      <c r="CE306" s="1"/>
      <c r="CI306" s="1"/>
    </row>
    <row r="307" spans="52:87">
      <c r="AZ307" s="1"/>
      <c r="BF307" s="6"/>
      <c r="BG307" s="6"/>
      <c r="BP307" s="6"/>
      <c r="BQ307" s="6"/>
      <c r="BR307" s="6"/>
      <c r="BS307" s="6"/>
      <c r="CE307" s="1"/>
      <c r="CI307" s="1"/>
    </row>
    <row r="308" spans="52:87">
      <c r="AZ308" s="1"/>
      <c r="BF308" s="6"/>
      <c r="BG308" s="6"/>
      <c r="BP308" s="6"/>
      <c r="BQ308" s="6"/>
      <c r="BR308" s="6"/>
      <c r="BS308" s="6"/>
      <c r="CE308" s="1"/>
      <c r="CI308" s="1"/>
    </row>
    <row r="309" spans="52:87">
      <c r="AZ309" s="1"/>
      <c r="BF309" s="6"/>
      <c r="BG309" s="6"/>
      <c r="BP309" s="6"/>
      <c r="BQ309" s="6"/>
      <c r="BR309" s="6"/>
      <c r="BS309" s="6"/>
      <c r="CE309" s="1"/>
      <c r="CI309" s="1"/>
    </row>
    <row r="310" spans="52:87">
      <c r="AZ310" s="1"/>
      <c r="BF310" s="6"/>
      <c r="BG310" s="6"/>
      <c r="BP310" s="6"/>
      <c r="BQ310" s="6"/>
      <c r="BR310" s="6"/>
      <c r="BS310" s="6"/>
      <c r="CE310" s="1"/>
      <c r="CI310" s="1"/>
    </row>
    <row r="311" spans="52:87">
      <c r="AZ311" s="1"/>
      <c r="BF311" s="6"/>
      <c r="BG311" s="6"/>
      <c r="BP311" s="6"/>
      <c r="BQ311" s="6"/>
      <c r="BR311" s="6"/>
      <c r="BS311" s="6"/>
      <c r="CE311" s="1"/>
      <c r="CI311" s="1"/>
    </row>
    <row r="312" spans="52:87">
      <c r="AZ312" s="1"/>
      <c r="BF312" s="6"/>
      <c r="BG312" s="6"/>
      <c r="BP312" s="6"/>
      <c r="BQ312" s="6"/>
      <c r="BR312" s="6"/>
      <c r="BS312" s="6"/>
      <c r="CE312" s="1"/>
      <c r="CI312" s="1"/>
    </row>
    <row r="313" spans="52:87">
      <c r="AZ313" s="1"/>
      <c r="BF313" s="6"/>
      <c r="BG313" s="6"/>
      <c r="BP313" s="6"/>
      <c r="BQ313" s="6"/>
      <c r="BR313" s="6"/>
      <c r="BS313" s="6"/>
      <c r="CE313" s="1"/>
      <c r="CI313" s="1"/>
    </row>
    <row r="314" spans="52:87">
      <c r="AZ314" s="1"/>
      <c r="BF314" s="6"/>
      <c r="BG314" s="6"/>
      <c r="BP314" s="6"/>
      <c r="BQ314" s="6"/>
      <c r="BR314" s="6"/>
      <c r="BS314" s="6"/>
      <c r="CE314" s="1"/>
      <c r="CI314" s="1"/>
    </row>
    <row r="315" spans="52:87">
      <c r="AZ315" s="1"/>
      <c r="BF315" s="6"/>
      <c r="BG315" s="6"/>
      <c r="BP315" s="6"/>
      <c r="BQ315" s="6"/>
      <c r="BR315" s="6"/>
      <c r="BS315" s="6"/>
      <c r="CE315" s="1"/>
      <c r="CI315" s="1"/>
    </row>
    <row r="316" spans="52:87">
      <c r="AZ316" s="1"/>
      <c r="BF316" s="6"/>
      <c r="BG316" s="6"/>
      <c r="BP316" s="6"/>
      <c r="BQ316" s="6"/>
      <c r="BR316" s="6"/>
      <c r="BS316" s="6"/>
      <c r="CE316" s="1"/>
      <c r="CI316" s="1"/>
    </row>
    <row r="317" spans="52:87">
      <c r="AZ317" s="1"/>
      <c r="BF317" s="6"/>
      <c r="BG317" s="6"/>
      <c r="BP317" s="6"/>
      <c r="BQ317" s="6"/>
      <c r="BR317" s="6"/>
      <c r="BS317" s="6"/>
      <c r="CE317" s="1"/>
      <c r="CI317" s="1"/>
    </row>
    <row r="318" spans="52:87">
      <c r="AZ318" s="1"/>
      <c r="BF318" s="6"/>
      <c r="BG318" s="6"/>
      <c r="BP318" s="6"/>
      <c r="BQ318" s="6"/>
      <c r="BR318" s="6"/>
      <c r="BS318" s="6"/>
      <c r="CE318" s="1"/>
      <c r="CI318" s="1"/>
    </row>
    <row r="319" spans="52:87">
      <c r="AZ319" s="1"/>
      <c r="BF319" s="6"/>
      <c r="BG319" s="6"/>
      <c r="BP319" s="6"/>
      <c r="BQ319" s="6"/>
      <c r="BR319" s="6"/>
      <c r="BS319" s="6"/>
      <c r="CE319" s="1"/>
      <c r="CI319" s="1"/>
    </row>
    <row r="320" spans="52:87">
      <c r="AZ320" s="1"/>
      <c r="BF320" s="6"/>
      <c r="BG320" s="6"/>
      <c r="BP320" s="6"/>
      <c r="BQ320" s="6"/>
      <c r="BR320" s="6"/>
      <c r="BS320" s="6"/>
      <c r="CE320" s="1"/>
      <c r="CI320" s="1"/>
    </row>
    <row r="321" spans="52:87">
      <c r="AZ321" s="1"/>
      <c r="BF321" s="6"/>
      <c r="BG321" s="6"/>
      <c r="BP321" s="6"/>
      <c r="BQ321" s="6"/>
      <c r="BR321" s="6"/>
      <c r="BS321" s="6"/>
      <c r="CE321" s="1"/>
      <c r="CI321" s="1"/>
    </row>
    <row r="322" spans="52:87">
      <c r="AZ322" s="1"/>
      <c r="BF322" s="6"/>
      <c r="BG322" s="6"/>
      <c r="BP322" s="6"/>
      <c r="BQ322" s="6"/>
      <c r="BR322" s="6"/>
      <c r="BS322" s="6"/>
      <c r="CE322" s="1"/>
      <c r="CI322" s="1"/>
    </row>
    <row r="323" spans="52:87">
      <c r="AZ323" s="1"/>
      <c r="BF323" s="6"/>
      <c r="BG323" s="6"/>
      <c r="BP323" s="6"/>
      <c r="BQ323" s="6"/>
      <c r="BR323" s="6"/>
      <c r="BS323" s="6"/>
      <c r="CE323" s="1"/>
      <c r="CI323" s="1"/>
    </row>
    <row r="324" spans="52:87">
      <c r="AZ324" s="1"/>
      <c r="BF324" s="6"/>
      <c r="BG324" s="6"/>
      <c r="BP324" s="6"/>
      <c r="BQ324" s="6"/>
      <c r="BR324" s="6"/>
      <c r="BS324" s="6"/>
      <c r="CE324" s="1"/>
      <c r="CI324" s="1"/>
    </row>
    <row r="325" spans="52:87">
      <c r="AZ325" s="1"/>
      <c r="BF325" s="6"/>
      <c r="BG325" s="6"/>
      <c r="BP325" s="6"/>
      <c r="BQ325" s="6"/>
      <c r="BR325" s="6"/>
      <c r="BS325" s="6"/>
      <c r="CE325" s="1"/>
      <c r="CI325" s="1"/>
    </row>
    <row r="326" spans="52:87">
      <c r="AZ326" s="1"/>
      <c r="BF326" s="6"/>
      <c r="BG326" s="6"/>
      <c r="BP326" s="6"/>
      <c r="BQ326" s="6"/>
      <c r="BR326" s="6"/>
      <c r="BS326" s="6"/>
      <c r="CE326" s="1"/>
      <c r="CI326" s="1"/>
    </row>
    <row r="327" spans="52:87">
      <c r="AZ327" s="1"/>
      <c r="BF327" s="6"/>
      <c r="BG327" s="6"/>
      <c r="BP327" s="6"/>
      <c r="BQ327" s="6"/>
      <c r="BR327" s="6"/>
      <c r="BS327" s="6"/>
      <c r="CE327" s="1"/>
      <c r="CI327" s="1"/>
    </row>
    <row r="328" spans="52:87">
      <c r="AZ328" s="1"/>
      <c r="BF328" s="6"/>
      <c r="BG328" s="6"/>
      <c r="BP328" s="6"/>
      <c r="BQ328" s="6"/>
      <c r="BR328" s="6"/>
      <c r="BS328" s="6"/>
      <c r="CE328" s="1"/>
      <c r="CI328" s="1"/>
    </row>
    <row r="329" spans="52:87">
      <c r="AZ329" s="1"/>
      <c r="BF329" s="6"/>
      <c r="BG329" s="6"/>
      <c r="BP329" s="6"/>
      <c r="BQ329" s="6"/>
      <c r="BR329" s="6"/>
      <c r="BS329" s="6"/>
      <c r="CE329" s="1"/>
      <c r="CI329" s="1"/>
    </row>
    <row r="330" spans="52:87">
      <c r="AZ330" s="1"/>
      <c r="BF330" s="6"/>
      <c r="BG330" s="6"/>
      <c r="BP330" s="6"/>
      <c r="BQ330" s="6"/>
      <c r="BR330" s="6"/>
      <c r="BS330" s="6"/>
      <c r="CE330" s="1"/>
      <c r="CI330" s="1"/>
    </row>
    <row r="331" spans="52:87">
      <c r="AZ331" s="1"/>
      <c r="BF331" s="6"/>
      <c r="BG331" s="6"/>
      <c r="BP331" s="6"/>
      <c r="BQ331" s="6"/>
      <c r="BR331" s="6"/>
      <c r="BS331" s="6"/>
      <c r="CE331" s="1"/>
      <c r="CI331" s="1"/>
    </row>
    <row r="332" spans="52:87">
      <c r="AZ332" s="1"/>
      <c r="BF332" s="6"/>
      <c r="BG332" s="6"/>
      <c r="BP332" s="6"/>
      <c r="BQ332" s="6"/>
      <c r="BR332" s="6"/>
      <c r="BS332" s="6"/>
      <c r="CE332" s="1"/>
      <c r="CI332" s="1"/>
    </row>
    <row r="333" spans="52:87">
      <c r="AZ333" s="1"/>
      <c r="BF333" s="6"/>
      <c r="BG333" s="6"/>
      <c r="BP333" s="6"/>
      <c r="BQ333" s="6"/>
      <c r="BR333" s="6"/>
      <c r="BS333" s="6"/>
      <c r="CE333" s="1"/>
      <c r="CI333" s="1"/>
    </row>
    <row r="334" spans="52:87">
      <c r="AZ334" s="1"/>
      <c r="BF334" s="6"/>
      <c r="BG334" s="6"/>
      <c r="BP334" s="6"/>
      <c r="BQ334" s="6"/>
      <c r="BR334" s="6"/>
      <c r="BS334" s="6"/>
      <c r="CE334" s="1"/>
      <c r="CI334" s="1"/>
    </row>
    <row r="335" spans="52:87">
      <c r="AZ335" s="1"/>
      <c r="BF335" s="6"/>
      <c r="BG335" s="6"/>
      <c r="BP335" s="6"/>
      <c r="BQ335" s="6"/>
      <c r="BR335" s="6"/>
      <c r="BS335" s="6"/>
      <c r="CE335" s="1"/>
      <c r="CI335" s="1"/>
    </row>
    <row r="336" spans="52:87">
      <c r="AZ336" s="1"/>
      <c r="BF336" s="6"/>
      <c r="BG336" s="6"/>
      <c r="BP336" s="6"/>
      <c r="BQ336" s="6"/>
      <c r="BR336" s="6"/>
      <c r="BS336" s="6"/>
      <c r="CE336" s="1"/>
      <c r="CI336" s="1"/>
    </row>
    <row r="337" spans="52:87">
      <c r="AZ337" s="1"/>
      <c r="BF337" s="6"/>
      <c r="BG337" s="6"/>
      <c r="BP337" s="6"/>
      <c r="BQ337" s="6"/>
      <c r="BR337" s="6"/>
      <c r="BS337" s="6"/>
      <c r="CE337" s="1"/>
      <c r="CI337" s="1"/>
    </row>
    <row r="338" spans="52:87">
      <c r="AZ338" s="1"/>
      <c r="BF338" s="6"/>
      <c r="BG338" s="6"/>
      <c r="BP338" s="6"/>
      <c r="BQ338" s="6"/>
      <c r="BR338" s="6"/>
      <c r="BS338" s="6"/>
      <c r="CE338" s="1"/>
      <c r="CI338" s="1"/>
    </row>
    <row r="339" spans="52:87">
      <c r="AZ339" s="1"/>
      <c r="BF339" s="6"/>
      <c r="BG339" s="6"/>
      <c r="BP339" s="6"/>
      <c r="BQ339" s="6"/>
      <c r="BR339" s="6"/>
      <c r="BS339" s="6"/>
      <c r="CE339" s="1"/>
      <c r="CI339" s="1"/>
    </row>
    <row r="340" spans="52:87">
      <c r="AZ340" s="1"/>
      <c r="BF340" s="6"/>
      <c r="BG340" s="6"/>
      <c r="BP340" s="6"/>
      <c r="BQ340" s="6"/>
      <c r="BR340" s="6"/>
      <c r="BS340" s="6"/>
      <c r="CE340" s="1"/>
      <c r="CI340" s="1"/>
    </row>
    <row r="341" spans="52:87">
      <c r="AZ341" s="1"/>
      <c r="BF341" s="6"/>
      <c r="BG341" s="6"/>
      <c r="BP341" s="6"/>
      <c r="BQ341" s="6"/>
      <c r="BR341" s="6"/>
      <c r="BS341" s="6"/>
      <c r="CE341" s="1"/>
      <c r="CI341" s="1"/>
    </row>
    <row r="342" spans="52:87">
      <c r="AZ342" s="1"/>
      <c r="BF342" s="6"/>
      <c r="BG342" s="6"/>
      <c r="BP342" s="6"/>
      <c r="BQ342" s="6"/>
      <c r="BR342" s="6"/>
      <c r="BS342" s="6"/>
      <c r="CE342" s="1"/>
      <c r="CI342" s="1"/>
    </row>
    <row r="343" spans="52:87">
      <c r="AZ343" s="1"/>
      <c r="BF343" s="6"/>
      <c r="BG343" s="6"/>
      <c r="BP343" s="6"/>
      <c r="BQ343" s="6"/>
      <c r="BR343" s="6"/>
      <c r="BS343" s="6"/>
      <c r="CE343" s="1"/>
      <c r="CI343" s="1"/>
    </row>
    <row r="344" spans="52:87">
      <c r="AZ344" s="1"/>
      <c r="BF344" s="6"/>
      <c r="BG344" s="6"/>
      <c r="BP344" s="6"/>
      <c r="BQ344" s="6"/>
      <c r="BR344" s="6"/>
      <c r="BS344" s="6"/>
      <c r="CE344" s="1"/>
      <c r="CI344" s="1"/>
    </row>
    <row r="345" spans="52:87">
      <c r="AZ345" s="1"/>
      <c r="BF345" s="6"/>
      <c r="BG345" s="6"/>
      <c r="BP345" s="6"/>
      <c r="BQ345" s="6"/>
      <c r="BR345" s="6"/>
      <c r="BS345" s="6"/>
      <c r="CE345" s="1"/>
      <c r="CI345" s="1"/>
    </row>
    <row r="346" spans="52:87">
      <c r="AZ346" s="1"/>
      <c r="BF346" s="6"/>
      <c r="BG346" s="6"/>
      <c r="BP346" s="6"/>
      <c r="BQ346" s="6"/>
      <c r="BR346" s="6"/>
      <c r="BS346" s="6"/>
      <c r="CE346" s="1"/>
      <c r="CI346" s="1"/>
    </row>
    <row r="347" spans="52:87">
      <c r="AZ347" s="1"/>
      <c r="BF347" s="6"/>
      <c r="BG347" s="6"/>
      <c r="BP347" s="6"/>
      <c r="BQ347" s="6"/>
      <c r="BR347" s="6"/>
      <c r="BS347" s="6"/>
      <c r="CE347" s="1"/>
      <c r="CI347" s="1"/>
    </row>
    <row r="348" spans="52:87">
      <c r="AZ348" s="1"/>
      <c r="BF348" s="6"/>
      <c r="BG348" s="6"/>
      <c r="BP348" s="6"/>
      <c r="BQ348" s="6"/>
      <c r="BR348" s="6"/>
      <c r="BS348" s="6"/>
      <c r="CE348" s="1"/>
      <c r="CI348" s="1"/>
    </row>
    <row r="349" spans="52:87">
      <c r="AZ349" s="1"/>
      <c r="BF349" s="6"/>
      <c r="BG349" s="6"/>
      <c r="BP349" s="6"/>
      <c r="BQ349" s="6"/>
      <c r="BR349" s="6"/>
      <c r="BS349" s="6"/>
      <c r="CE349" s="1"/>
      <c r="CI349" s="1"/>
    </row>
    <row r="350" spans="52:87">
      <c r="AZ350" s="1"/>
      <c r="BF350" s="6"/>
      <c r="BG350" s="6"/>
      <c r="BP350" s="6"/>
      <c r="BQ350" s="6"/>
      <c r="BR350" s="6"/>
      <c r="BS350" s="6"/>
      <c r="CE350" s="1"/>
      <c r="CI350" s="1"/>
    </row>
    <row r="351" spans="52:87">
      <c r="AZ351" s="1"/>
      <c r="BF351" s="6"/>
      <c r="BG351" s="6"/>
      <c r="BP351" s="6"/>
      <c r="BQ351" s="6"/>
      <c r="BR351" s="6"/>
      <c r="BS351" s="6"/>
      <c r="CE351" s="1"/>
      <c r="CI351" s="1"/>
    </row>
    <row r="352" spans="52:87">
      <c r="AZ352" s="1"/>
      <c r="BF352" s="6"/>
      <c r="BG352" s="6"/>
      <c r="BP352" s="6"/>
      <c r="BQ352" s="6"/>
      <c r="BR352" s="6"/>
      <c r="BS352" s="6"/>
      <c r="CE352" s="1"/>
      <c r="CI352" s="1"/>
    </row>
    <row r="353" spans="52:87">
      <c r="AZ353" s="1"/>
      <c r="BF353" s="6"/>
      <c r="BG353" s="6"/>
      <c r="BP353" s="6"/>
      <c r="BQ353" s="6"/>
      <c r="BR353" s="6"/>
      <c r="BS353" s="6"/>
      <c r="CE353" s="1"/>
      <c r="CI353" s="1"/>
    </row>
    <row r="354" spans="52:87">
      <c r="AZ354" s="1"/>
      <c r="BF354" s="6"/>
      <c r="BG354" s="6"/>
      <c r="BP354" s="6"/>
      <c r="BQ354" s="6"/>
      <c r="BR354" s="6"/>
      <c r="BS354" s="6"/>
      <c r="CE354" s="1"/>
      <c r="CI354" s="1"/>
    </row>
    <row r="355" spans="52:87">
      <c r="AZ355" s="1"/>
      <c r="BF355" s="6"/>
      <c r="BG355" s="6"/>
      <c r="BP355" s="6"/>
      <c r="BQ355" s="6"/>
      <c r="BR355" s="6"/>
      <c r="BS355" s="6"/>
      <c r="CE355" s="1"/>
      <c r="CI355" s="1"/>
    </row>
    <row r="356" spans="52:87">
      <c r="AZ356" s="1"/>
      <c r="BF356" s="6"/>
      <c r="BG356" s="6"/>
      <c r="BP356" s="6"/>
      <c r="BQ356" s="6"/>
      <c r="BR356" s="6"/>
      <c r="BS356" s="6"/>
      <c r="CE356" s="1"/>
      <c r="CI356" s="1"/>
    </row>
    <row r="357" spans="52:87">
      <c r="AZ357" s="1"/>
      <c r="BF357" s="6"/>
      <c r="BG357" s="6"/>
      <c r="BP357" s="6"/>
      <c r="BQ357" s="6"/>
      <c r="BR357" s="6"/>
      <c r="BS357" s="6"/>
      <c r="CE357" s="1"/>
      <c r="CI357" s="1"/>
    </row>
    <row r="358" spans="52:87">
      <c r="AZ358" s="1"/>
      <c r="BF358" s="6"/>
      <c r="BG358" s="6"/>
      <c r="BP358" s="6"/>
      <c r="BQ358" s="6"/>
      <c r="BR358" s="6"/>
      <c r="BS358" s="6"/>
      <c r="CE358" s="1"/>
      <c r="CI358" s="1"/>
    </row>
    <row r="359" spans="52:87">
      <c r="AZ359" s="1"/>
      <c r="BF359" s="6"/>
      <c r="BG359" s="6"/>
      <c r="BP359" s="6"/>
      <c r="BQ359" s="6"/>
      <c r="BR359" s="6"/>
      <c r="BS359" s="6"/>
      <c r="CE359" s="1"/>
      <c r="CI359" s="1"/>
    </row>
    <row r="360" spans="52:87">
      <c r="AZ360" s="1"/>
      <c r="BF360" s="6"/>
      <c r="BG360" s="6"/>
      <c r="BP360" s="6"/>
      <c r="BQ360" s="6"/>
      <c r="BR360" s="6"/>
      <c r="BS360" s="6"/>
      <c r="CE360" s="1"/>
      <c r="CI360" s="1"/>
    </row>
    <row r="361" spans="52:87">
      <c r="AZ361" s="1"/>
      <c r="BF361" s="6"/>
      <c r="BG361" s="6"/>
      <c r="BP361" s="6"/>
      <c r="BQ361" s="6"/>
      <c r="BR361" s="6"/>
      <c r="BS361" s="6"/>
      <c r="CE361" s="1"/>
      <c r="CI361" s="1"/>
    </row>
    <row r="362" spans="52:87">
      <c r="AZ362" s="1"/>
      <c r="BF362" s="6"/>
      <c r="BG362" s="6"/>
      <c r="BP362" s="6"/>
      <c r="BQ362" s="6"/>
      <c r="BR362" s="6"/>
      <c r="BS362" s="6"/>
      <c r="CE362" s="1"/>
      <c r="CI362" s="1"/>
    </row>
    <row r="363" spans="52:87">
      <c r="AZ363" s="1"/>
      <c r="BF363" s="6"/>
      <c r="BG363" s="6"/>
      <c r="BP363" s="6"/>
      <c r="BQ363" s="6"/>
      <c r="BR363" s="6"/>
      <c r="BS363" s="6"/>
      <c r="CE363" s="1"/>
      <c r="CI363" s="1"/>
    </row>
    <row r="364" spans="52:87">
      <c r="AZ364" s="1"/>
      <c r="BF364" s="6"/>
      <c r="BG364" s="6"/>
      <c r="BP364" s="6"/>
      <c r="BQ364" s="6"/>
      <c r="BR364" s="6"/>
      <c r="BS364" s="6"/>
      <c r="CE364" s="1"/>
      <c r="CI364" s="1"/>
    </row>
    <row r="365" spans="52:87">
      <c r="AZ365" s="1"/>
      <c r="BF365" s="6"/>
      <c r="BG365" s="6"/>
      <c r="BP365" s="6"/>
      <c r="BQ365" s="6"/>
      <c r="BR365" s="6"/>
      <c r="BS365" s="6"/>
      <c r="CE365" s="1"/>
      <c r="CI365" s="1"/>
    </row>
    <row r="366" spans="52:87">
      <c r="AZ366" s="1"/>
      <c r="BF366" s="6"/>
      <c r="BG366" s="6"/>
      <c r="BP366" s="6"/>
      <c r="BQ366" s="6"/>
      <c r="BR366" s="6"/>
      <c r="BS366" s="6"/>
      <c r="CE366" s="1"/>
      <c r="CI366" s="1"/>
    </row>
    <row r="367" spans="52:87">
      <c r="AZ367" s="1"/>
      <c r="BF367" s="6"/>
      <c r="BG367" s="6"/>
      <c r="BP367" s="6"/>
      <c r="BQ367" s="6"/>
      <c r="BR367" s="6"/>
      <c r="BS367" s="6"/>
      <c r="CE367" s="1"/>
      <c r="CI367" s="1"/>
    </row>
    <row r="368" spans="52:87">
      <c r="AZ368" s="1"/>
      <c r="BF368" s="6"/>
      <c r="BG368" s="6"/>
      <c r="BP368" s="6"/>
      <c r="BQ368" s="6"/>
      <c r="BR368" s="6"/>
      <c r="BS368" s="6"/>
      <c r="CE368" s="1"/>
      <c r="CI368" s="1"/>
    </row>
    <row r="369" spans="52:87">
      <c r="AZ369" s="1"/>
      <c r="BF369" s="6"/>
      <c r="BG369" s="6"/>
      <c r="BP369" s="6"/>
      <c r="BQ369" s="6"/>
      <c r="BR369" s="6"/>
      <c r="BS369" s="6"/>
      <c r="CE369" s="1"/>
      <c r="CI369" s="1"/>
    </row>
    <row r="370" spans="52:87">
      <c r="AZ370" s="1"/>
      <c r="BF370" s="6"/>
      <c r="BG370" s="6"/>
      <c r="BP370" s="6"/>
      <c r="BQ370" s="6"/>
      <c r="BR370" s="6"/>
      <c r="BS370" s="6"/>
      <c r="CE370" s="1"/>
      <c r="CI370" s="1"/>
    </row>
    <row r="371" spans="52:87">
      <c r="AZ371" s="1"/>
      <c r="BF371" s="6"/>
      <c r="BG371" s="6"/>
      <c r="BP371" s="6"/>
      <c r="BQ371" s="6"/>
      <c r="BR371" s="6"/>
      <c r="BS371" s="6"/>
      <c r="CE371" s="1"/>
      <c r="CI371" s="1"/>
    </row>
    <row r="372" spans="52:87">
      <c r="AZ372" s="1"/>
      <c r="BF372" s="6"/>
      <c r="BG372" s="6"/>
      <c r="BP372" s="6"/>
      <c r="BQ372" s="6"/>
      <c r="BR372" s="6"/>
      <c r="BS372" s="6"/>
      <c r="CE372" s="1"/>
      <c r="CI372" s="1"/>
    </row>
    <row r="373" spans="52:87">
      <c r="AZ373" s="1"/>
      <c r="BF373" s="6"/>
      <c r="BG373" s="6"/>
      <c r="BP373" s="6"/>
      <c r="BQ373" s="6"/>
      <c r="BR373" s="6"/>
      <c r="BS373" s="6"/>
      <c r="CE373" s="1"/>
      <c r="CI373" s="1"/>
    </row>
    <row r="374" spans="52:87">
      <c r="AZ374" s="1"/>
      <c r="BF374" s="6"/>
      <c r="BG374" s="6"/>
      <c r="BP374" s="6"/>
      <c r="BQ374" s="6"/>
      <c r="BR374" s="6"/>
      <c r="BS374" s="6"/>
      <c r="CE374" s="1"/>
      <c r="CI374" s="1"/>
    </row>
    <row r="375" spans="52:87">
      <c r="AZ375" s="1"/>
      <c r="BF375" s="6"/>
      <c r="BG375" s="6"/>
      <c r="BP375" s="6"/>
      <c r="BQ375" s="6"/>
      <c r="BR375" s="6"/>
      <c r="BS375" s="6"/>
      <c r="CE375" s="1"/>
      <c r="CI375" s="1"/>
    </row>
    <row r="376" spans="52:87">
      <c r="AZ376" s="1"/>
      <c r="BF376" s="6"/>
      <c r="BG376" s="6"/>
      <c r="BP376" s="6"/>
      <c r="BQ376" s="6"/>
      <c r="BR376" s="6"/>
      <c r="BS376" s="6"/>
      <c r="CE376" s="1"/>
      <c r="CI376" s="1"/>
    </row>
    <row r="377" spans="52:87">
      <c r="AZ377" s="1"/>
      <c r="BF377" s="6"/>
      <c r="BG377" s="6"/>
      <c r="BP377" s="6"/>
      <c r="BQ377" s="6"/>
      <c r="BR377" s="6"/>
      <c r="BS377" s="6"/>
      <c r="CE377" s="1"/>
      <c r="CI377" s="1"/>
    </row>
    <row r="378" spans="52:87">
      <c r="AZ378" s="1"/>
      <c r="BF378" s="6"/>
      <c r="BG378" s="6"/>
      <c r="BP378" s="6"/>
      <c r="BQ378" s="6"/>
      <c r="BR378" s="6"/>
      <c r="BS378" s="6"/>
      <c r="CE378" s="1"/>
      <c r="CI378" s="1"/>
    </row>
    <row r="379" spans="52:87">
      <c r="AZ379" s="1"/>
      <c r="BF379" s="6"/>
      <c r="BG379" s="6"/>
      <c r="BP379" s="6"/>
      <c r="BQ379" s="6"/>
      <c r="BR379" s="6"/>
      <c r="BS379" s="6"/>
      <c r="CE379" s="1"/>
      <c r="CI379" s="1"/>
    </row>
    <row r="380" spans="52:87">
      <c r="AZ380" s="1"/>
      <c r="BF380" s="6"/>
      <c r="BG380" s="6"/>
      <c r="BP380" s="6"/>
      <c r="BQ380" s="6"/>
      <c r="BR380" s="6"/>
      <c r="BS380" s="6"/>
      <c r="CE380" s="1"/>
      <c r="CI380" s="1"/>
    </row>
    <row r="381" spans="52:87">
      <c r="AZ381" s="1"/>
      <c r="BF381" s="6"/>
      <c r="BG381" s="6"/>
      <c r="BP381" s="6"/>
      <c r="BQ381" s="6"/>
      <c r="BR381" s="6"/>
      <c r="BS381" s="6"/>
      <c r="CE381" s="1"/>
      <c r="CI381" s="1"/>
    </row>
    <row r="382" spans="52:87">
      <c r="AZ382" s="1"/>
      <c r="BF382" s="6"/>
      <c r="BG382" s="6"/>
      <c r="BP382" s="6"/>
      <c r="BQ382" s="6"/>
      <c r="BR382" s="6"/>
      <c r="BS382" s="6"/>
      <c r="CE382" s="1"/>
      <c r="CI382" s="1"/>
    </row>
    <row r="383" spans="52:87">
      <c r="AZ383" s="1"/>
      <c r="BF383" s="6"/>
      <c r="BG383" s="6"/>
      <c r="BP383" s="6"/>
      <c r="BQ383" s="6"/>
      <c r="BR383" s="6"/>
      <c r="BS383" s="6"/>
      <c r="CE383" s="1"/>
      <c r="CI383" s="1"/>
    </row>
    <row r="384" spans="52:87">
      <c r="AZ384" s="1"/>
      <c r="BF384" s="6"/>
      <c r="BG384" s="6"/>
      <c r="BP384" s="6"/>
      <c r="BQ384" s="6"/>
      <c r="BR384" s="6"/>
      <c r="BS384" s="6"/>
      <c r="CE384" s="1"/>
      <c r="CI384" s="1"/>
    </row>
    <row r="385" spans="52:87">
      <c r="AZ385" s="1"/>
      <c r="BF385" s="6"/>
      <c r="BG385" s="6"/>
      <c r="BP385" s="6"/>
      <c r="BQ385" s="6"/>
      <c r="BR385" s="6"/>
      <c r="BS385" s="6"/>
      <c r="CE385" s="1"/>
      <c r="CI385" s="1"/>
    </row>
    <row r="386" spans="52:87">
      <c r="AZ386" s="1"/>
      <c r="BF386" s="6"/>
      <c r="BG386" s="6"/>
      <c r="BP386" s="6"/>
      <c r="BQ386" s="6"/>
      <c r="BR386" s="6"/>
      <c r="BS386" s="6"/>
      <c r="CE386" s="1"/>
      <c r="CI386" s="1"/>
    </row>
    <row r="387" spans="52:87">
      <c r="AZ387" s="1"/>
      <c r="BF387" s="6"/>
      <c r="BG387" s="6"/>
      <c r="BP387" s="6"/>
      <c r="BQ387" s="6"/>
      <c r="BR387" s="6"/>
      <c r="BS387" s="6"/>
      <c r="CE387" s="1"/>
      <c r="CI387" s="1"/>
    </row>
    <row r="388" spans="52:87">
      <c r="AZ388" s="1"/>
      <c r="BF388" s="6"/>
      <c r="BG388" s="6"/>
      <c r="BP388" s="6"/>
      <c r="BQ388" s="6"/>
      <c r="BR388" s="6"/>
      <c r="BS388" s="6"/>
      <c r="CE388" s="1"/>
      <c r="CI388" s="1"/>
    </row>
    <row r="389" spans="52:87">
      <c r="AZ389" s="1"/>
      <c r="BF389" s="6"/>
      <c r="BG389" s="6"/>
      <c r="BP389" s="6"/>
      <c r="BQ389" s="6"/>
      <c r="BR389" s="6"/>
      <c r="BS389" s="6"/>
      <c r="CE389" s="1"/>
      <c r="CI389" s="1"/>
    </row>
    <row r="390" spans="52:87">
      <c r="AZ390" s="1"/>
      <c r="BF390" s="6"/>
      <c r="BG390" s="6"/>
      <c r="BP390" s="6"/>
      <c r="BQ390" s="6"/>
      <c r="BR390" s="6"/>
      <c r="BS390" s="6"/>
      <c r="CE390" s="1"/>
      <c r="CI390" s="1"/>
    </row>
    <row r="391" spans="52:87">
      <c r="AZ391" s="1"/>
      <c r="BF391" s="6"/>
      <c r="BG391" s="6"/>
      <c r="BP391" s="6"/>
      <c r="BQ391" s="6"/>
      <c r="BR391" s="6"/>
      <c r="BS391" s="6"/>
      <c r="CE391" s="1"/>
      <c r="CI391" s="1"/>
    </row>
    <row r="392" spans="52:87">
      <c r="AZ392" s="1"/>
      <c r="BF392" s="6"/>
      <c r="BG392" s="6"/>
      <c r="BP392" s="6"/>
      <c r="BQ392" s="6"/>
      <c r="BR392" s="6"/>
      <c r="BS392" s="6"/>
      <c r="CE392" s="1"/>
      <c r="CI392" s="1"/>
    </row>
    <row r="393" spans="52:87">
      <c r="AZ393" s="1"/>
      <c r="BF393" s="6"/>
      <c r="BG393" s="6"/>
      <c r="BP393" s="6"/>
      <c r="BQ393" s="6"/>
      <c r="BR393" s="6"/>
      <c r="BS393" s="6"/>
      <c r="CE393" s="1"/>
      <c r="CI393" s="1"/>
    </row>
    <row r="394" spans="52:87">
      <c r="AZ394" s="1"/>
      <c r="BF394" s="6"/>
      <c r="BG394" s="6"/>
      <c r="BP394" s="6"/>
      <c r="BQ394" s="6"/>
      <c r="BR394" s="6"/>
      <c r="BS394" s="6"/>
      <c r="CE394" s="1"/>
      <c r="CI394" s="1"/>
    </row>
    <row r="395" spans="52:87">
      <c r="AZ395" s="1"/>
      <c r="BF395" s="6"/>
      <c r="BG395" s="6"/>
      <c r="BP395" s="6"/>
      <c r="BQ395" s="6"/>
      <c r="BR395" s="6"/>
      <c r="BS395" s="6"/>
      <c r="CE395" s="1"/>
      <c r="CI395" s="1"/>
    </row>
    <row r="396" spans="52:87">
      <c r="AZ396" s="1"/>
      <c r="BF396" s="6"/>
      <c r="BG396" s="6"/>
      <c r="BP396" s="6"/>
      <c r="BQ396" s="6"/>
      <c r="BR396" s="6"/>
      <c r="BS396" s="6"/>
      <c r="CE396" s="1"/>
      <c r="CI396" s="1"/>
    </row>
    <row r="397" spans="52:87">
      <c r="AZ397" s="1"/>
      <c r="BF397" s="6"/>
      <c r="BG397" s="6"/>
      <c r="BP397" s="6"/>
      <c r="BQ397" s="6"/>
      <c r="BR397" s="6"/>
      <c r="BS397" s="6"/>
      <c r="CE397" s="1"/>
      <c r="CI397" s="1"/>
    </row>
    <row r="398" spans="52:87">
      <c r="AZ398" s="1"/>
      <c r="BF398" s="6"/>
      <c r="BG398" s="6"/>
      <c r="BP398" s="6"/>
      <c r="BQ398" s="6"/>
      <c r="BR398" s="6"/>
      <c r="BS398" s="6"/>
      <c r="CE398" s="1"/>
      <c r="CI398" s="1"/>
    </row>
    <row r="399" spans="52:87">
      <c r="AZ399" s="1"/>
      <c r="BF399" s="6"/>
      <c r="BG399" s="6"/>
      <c r="BP399" s="6"/>
      <c r="BQ399" s="6"/>
      <c r="BR399" s="6"/>
      <c r="BS399" s="6"/>
      <c r="CE399" s="1"/>
      <c r="CI399" s="1"/>
    </row>
    <row r="400" spans="52:87">
      <c r="AZ400" s="1"/>
      <c r="BF400" s="6"/>
      <c r="BG400" s="6"/>
      <c r="BP400" s="6"/>
      <c r="BQ400" s="6"/>
      <c r="BR400" s="6"/>
      <c r="BS400" s="6"/>
      <c r="CE400" s="1"/>
      <c r="CI400" s="1"/>
    </row>
    <row r="401" spans="52:87">
      <c r="AZ401" s="1"/>
      <c r="BF401" s="6"/>
      <c r="BG401" s="6"/>
      <c r="BP401" s="6"/>
      <c r="BQ401" s="6"/>
      <c r="BR401" s="6"/>
      <c r="BS401" s="6"/>
      <c r="CE401" s="1"/>
      <c r="CI401" s="1"/>
    </row>
    <row r="402" spans="52:87">
      <c r="AZ402" s="1"/>
      <c r="BF402" s="6"/>
      <c r="BG402" s="6"/>
      <c r="BP402" s="6"/>
      <c r="BQ402" s="6"/>
      <c r="BR402" s="6"/>
      <c r="BS402" s="6"/>
      <c r="CE402" s="1"/>
      <c r="CI402" s="1"/>
    </row>
    <row r="403" spans="52:87">
      <c r="AZ403" s="1"/>
      <c r="BF403" s="6"/>
      <c r="BG403" s="6"/>
      <c r="BP403" s="6"/>
      <c r="BQ403" s="6"/>
      <c r="BR403" s="6"/>
      <c r="BS403" s="6"/>
      <c r="CE403" s="1"/>
      <c r="CI403" s="1"/>
    </row>
    <row r="404" spans="52:87">
      <c r="AZ404" s="1"/>
      <c r="BF404" s="6"/>
      <c r="BG404" s="6"/>
      <c r="BP404" s="6"/>
      <c r="BQ404" s="6"/>
      <c r="BR404" s="6"/>
      <c r="BS404" s="6"/>
      <c r="CE404" s="1"/>
      <c r="CI404" s="1"/>
    </row>
    <row r="405" spans="52:87">
      <c r="AZ405" s="1"/>
      <c r="BF405" s="6"/>
      <c r="BG405" s="6"/>
      <c r="BP405" s="6"/>
      <c r="BQ405" s="6"/>
      <c r="BR405" s="6"/>
      <c r="BS405" s="6"/>
      <c r="CE405" s="1"/>
      <c r="CI405" s="1"/>
    </row>
    <row r="406" spans="52:87">
      <c r="AZ406" s="1"/>
      <c r="BF406" s="6"/>
      <c r="BG406" s="6"/>
      <c r="BP406" s="6"/>
      <c r="BQ406" s="6"/>
      <c r="BR406" s="6"/>
      <c r="BS406" s="6"/>
      <c r="CE406" s="1"/>
      <c r="CI406" s="1"/>
    </row>
    <row r="407" spans="52:87">
      <c r="AZ407" s="1"/>
      <c r="BF407" s="6"/>
      <c r="BG407" s="6"/>
      <c r="BP407" s="6"/>
      <c r="BQ407" s="6"/>
      <c r="BR407" s="6"/>
      <c r="BS407" s="6"/>
      <c r="CE407" s="1"/>
      <c r="CI407" s="1"/>
    </row>
    <row r="408" spans="52:87">
      <c r="AZ408" s="1"/>
      <c r="BF408" s="6"/>
      <c r="BG408" s="6"/>
      <c r="BP408" s="6"/>
      <c r="BQ408" s="6"/>
      <c r="BR408" s="6"/>
      <c r="BS408" s="6"/>
      <c r="CE408" s="1"/>
      <c r="CI408" s="1"/>
    </row>
    <row r="409" spans="52:87">
      <c r="AZ409" s="1"/>
      <c r="BF409" s="6"/>
      <c r="BG409" s="6"/>
      <c r="BP409" s="6"/>
      <c r="BQ409" s="6"/>
      <c r="BR409" s="6"/>
      <c r="BS409" s="6"/>
      <c r="CE409" s="1"/>
      <c r="CI409" s="1"/>
    </row>
    <row r="410" spans="52:87">
      <c r="AZ410" s="1"/>
      <c r="BF410" s="6"/>
      <c r="BG410" s="6"/>
      <c r="BP410" s="6"/>
      <c r="BQ410" s="6"/>
      <c r="BR410" s="6"/>
      <c r="BS410" s="6"/>
      <c r="CE410" s="1"/>
      <c r="CI410" s="1"/>
    </row>
    <row r="411" spans="52:87">
      <c r="AZ411" s="1"/>
      <c r="BF411" s="6"/>
      <c r="BG411" s="6"/>
      <c r="BP411" s="6"/>
      <c r="BQ411" s="6"/>
      <c r="BR411" s="6"/>
      <c r="BS411" s="6"/>
      <c r="CE411" s="1"/>
      <c r="CI411" s="1"/>
    </row>
    <row r="412" spans="52:87">
      <c r="AZ412" s="1"/>
      <c r="BF412" s="6"/>
      <c r="BG412" s="6"/>
      <c r="BP412" s="6"/>
      <c r="BQ412" s="6"/>
      <c r="BR412" s="6"/>
      <c r="BS412" s="6"/>
      <c r="CE412" s="1"/>
      <c r="CI412" s="1"/>
    </row>
    <row r="413" spans="52:87">
      <c r="AZ413" s="1"/>
      <c r="BF413" s="6"/>
      <c r="BG413" s="6"/>
      <c r="BP413" s="6"/>
      <c r="BQ413" s="6"/>
      <c r="BR413" s="6"/>
      <c r="BS413" s="6"/>
      <c r="CE413" s="1"/>
      <c r="CI413" s="1"/>
    </row>
    <row r="414" spans="52:87">
      <c r="AZ414" s="1"/>
      <c r="BF414" s="6"/>
      <c r="BG414" s="6"/>
      <c r="BP414" s="6"/>
      <c r="BQ414" s="6"/>
      <c r="BR414" s="6"/>
      <c r="BS414" s="6"/>
      <c r="CE414" s="1"/>
      <c r="CI414" s="1"/>
    </row>
    <row r="415" spans="52:87">
      <c r="AZ415" s="1"/>
      <c r="BF415" s="6"/>
      <c r="BG415" s="6"/>
      <c r="BP415" s="6"/>
      <c r="BQ415" s="6"/>
      <c r="BR415" s="6"/>
      <c r="BS415" s="6"/>
      <c r="CE415" s="1"/>
      <c r="CI415" s="1"/>
    </row>
    <row r="416" spans="52:87">
      <c r="AZ416" s="1"/>
      <c r="BF416" s="6"/>
      <c r="BG416" s="6"/>
      <c r="BP416" s="6"/>
      <c r="BQ416" s="6"/>
      <c r="BR416" s="6"/>
      <c r="BS416" s="6"/>
      <c r="CE416" s="1"/>
      <c r="CI416" s="1"/>
    </row>
    <row r="417" spans="52:87">
      <c r="AZ417" s="1"/>
      <c r="BF417" s="6"/>
      <c r="BG417" s="6"/>
      <c r="BP417" s="6"/>
      <c r="BQ417" s="6"/>
      <c r="BR417" s="6"/>
      <c r="BS417" s="6"/>
      <c r="CE417" s="1"/>
      <c r="CI417" s="1"/>
    </row>
    <row r="418" spans="52:87">
      <c r="AZ418" s="1"/>
      <c r="BF418" s="6"/>
      <c r="BG418" s="6"/>
      <c r="BP418" s="6"/>
      <c r="BQ418" s="6"/>
      <c r="BR418" s="6"/>
      <c r="BS418" s="6"/>
      <c r="CE418" s="1"/>
      <c r="CI418" s="1"/>
    </row>
    <row r="419" spans="52:87">
      <c r="AZ419" s="1"/>
      <c r="BF419" s="6"/>
      <c r="BG419" s="6"/>
      <c r="BP419" s="6"/>
      <c r="BQ419" s="6"/>
      <c r="BR419" s="6"/>
      <c r="BS419" s="6"/>
      <c r="CE419" s="1"/>
      <c r="CI419" s="1"/>
    </row>
    <row r="420" spans="52:87">
      <c r="AZ420" s="1"/>
      <c r="BF420" s="6"/>
      <c r="BG420" s="6"/>
      <c r="BP420" s="6"/>
      <c r="BQ420" s="6"/>
      <c r="BR420" s="6"/>
      <c r="BS420" s="6"/>
      <c r="CE420" s="1"/>
      <c r="CI420" s="1"/>
    </row>
    <row r="421" spans="52:87">
      <c r="AZ421" s="1"/>
      <c r="BF421" s="6"/>
      <c r="BG421" s="6"/>
      <c r="BP421" s="6"/>
      <c r="BQ421" s="6"/>
      <c r="BR421" s="6"/>
      <c r="BS421" s="6"/>
      <c r="CE421" s="1"/>
      <c r="CI421" s="1"/>
    </row>
    <row r="422" spans="52:87">
      <c r="AZ422" s="1"/>
      <c r="BF422" s="6"/>
      <c r="BG422" s="6"/>
      <c r="BP422" s="6"/>
      <c r="BQ422" s="6"/>
      <c r="BR422" s="6"/>
      <c r="BS422" s="6"/>
      <c r="CE422" s="1"/>
      <c r="CI422" s="1"/>
    </row>
    <row r="423" spans="52:87">
      <c r="AZ423" s="1"/>
      <c r="BF423" s="6"/>
      <c r="BG423" s="6"/>
      <c r="BP423" s="6"/>
      <c r="BQ423" s="6"/>
      <c r="BR423" s="6"/>
      <c r="BS423" s="6"/>
      <c r="CE423" s="1"/>
      <c r="CI423" s="1"/>
    </row>
    <row r="424" spans="52:87">
      <c r="AZ424" s="1"/>
      <c r="BF424" s="6"/>
      <c r="BG424" s="6"/>
      <c r="BP424" s="6"/>
      <c r="BQ424" s="6"/>
      <c r="BR424" s="6"/>
      <c r="BS424" s="6"/>
      <c r="CE424" s="1"/>
      <c r="CI424" s="1"/>
    </row>
    <row r="425" spans="52:87">
      <c r="AZ425" s="1"/>
      <c r="BF425" s="6"/>
      <c r="BG425" s="6"/>
      <c r="BP425" s="6"/>
      <c r="BQ425" s="6"/>
      <c r="BR425" s="6"/>
      <c r="BS425" s="6"/>
      <c r="CE425" s="1"/>
      <c r="CI425" s="1"/>
    </row>
    <row r="426" spans="52:87">
      <c r="AZ426" s="1"/>
      <c r="BF426" s="6"/>
      <c r="BG426" s="6"/>
      <c r="BP426" s="6"/>
      <c r="BQ426" s="6"/>
      <c r="BR426" s="6"/>
      <c r="BS426" s="6"/>
      <c r="CE426" s="1"/>
      <c r="CI426" s="1"/>
    </row>
    <row r="427" spans="52:87">
      <c r="AZ427" s="1"/>
      <c r="BF427" s="6"/>
      <c r="BG427" s="6"/>
      <c r="BP427" s="6"/>
      <c r="BQ427" s="6"/>
      <c r="BR427" s="6"/>
      <c r="BS427" s="6"/>
      <c r="CE427" s="1"/>
      <c r="CI427" s="1"/>
    </row>
    <row r="428" spans="52:87">
      <c r="AZ428" s="1"/>
      <c r="BF428" s="6"/>
      <c r="BG428" s="6"/>
      <c r="BP428" s="6"/>
      <c r="BQ428" s="6"/>
      <c r="BR428" s="6"/>
      <c r="BS428" s="6"/>
      <c r="CE428" s="1"/>
      <c r="CI428" s="1"/>
    </row>
    <row r="429" spans="52:87">
      <c r="AZ429" s="1"/>
      <c r="BF429" s="6"/>
      <c r="BG429" s="6"/>
      <c r="BP429" s="6"/>
      <c r="BQ429" s="6"/>
      <c r="BR429" s="6"/>
      <c r="BS429" s="6"/>
      <c r="CE429" s="1"/>
      <c r="CI429" s="1"/>
    </row>
    <row r="430" spans="52:87">
      <c r="AZ430" s="1"/>
      <c r="BF430" s="6"/>
      <c r="BG430" s="6"/>
      <c r="BP430" s="6"/>
      <c r="BQ430" s="6"/>
      <c r="BR430" s="6"/>
      <c r="BS430" s="6"/>
      <c r="CE430" s="1"/>
      <c r="CI430" s="1"/>
    </row>
    <row r="431" spans="52:87">
      <c r="AZ431" s="1"/>
      <c r="BF431" s="6"/>
      <c r="BG431" s="6"/>
      <c r="BP431" s="6"/>
      <c r="BQ431" s="6"/>
      <c r="BR431" s="6"/>
      <c r="BS431" s="6"/>
      <c r="CE431" s="1"/>
      <c r="CI431" s="1"/>
    </row>
    <row r="432" spans="52:87">
      <c r="AZ432" s="1"/>
      <c r="BF432" s="6"/>
      <c r="BG432" s="6"/>
      <c r="BP432" s="6"/>
      <c r="BQ432" s="6"/>
      <c r="BR432" s="6"/>
      <c r="BS432" s="6"/>
      <c r="CE432" s="1"/>
      <c r="CI432" s="1"/>
    </row>
    <row r="433" spans="52:87">
      <c r="AZ433" s="1"/>
      <c r="BF433" s="6"/>
      <c r="BG433" s="6"/>
      <c r="BP433" s="6"/>
      <c r="BQ433" s="6"/>
      <c r="BR433" s="6"/>
      <c r="BS433" s="6"/>
      <c r="CE433" s="1"/>
      <c r="CI433" s="1"/>
    </row>
    <row r="434" spans="52:87">
      <c r="AZ434" s="1"/>
      <c r="BF434" s="6"/>
      <c r="BG434" s="6"/>
      <c r="BP434" s="6"/>
      <c r="BQ434" s="6"/>
      <c r="BR434" s="6"/>
      <c r="BS434" s="6"/>
      <c r="CE434" s="1"/>
      <c r="CI434" s="1"/>
    </row>
    <row r="435" spans="52:87">
      <c r="AZ435" s="1"/>
      <c r="BF435" s="6"/>
      <c r="BG435" s="6"/>
      <c r="BP435" s="6"/>
      <c r="BQ435" s="6"/>
      <c r="BR435" s="6"/>
      <c r="BS435" s="6"/>
      <c r="CE435" s="1"/>
      <c r="CI435" s="1"/>
    </row>
    <row r="436" spans="52:87">
      <c r="AZ436" s="1"/>
      <c r="BF436" s="6"/>
      <c r="BG436" s="6"/>
      <c r="BP436" s="6"/>
      <c r="BQ436" s="6"/>
      <c r="BR436" s="6"/>
      <c r="BS436" s="6"/>
      <c r="CE436" s="1"/>
      <c r="CI436" s="1"/>
    </row>
    <row r="437" spans="52:87">
      <c r="AZ437" s="1"/>
      <c r="BF437" s="6"/>
      <c r="BG437" s="6"/>
      <c r="BP437" s="6"/>
      <c r="BQ437" s="6"/>
      <c r="BR437" s="6"/>
      <c r="BS437" s="6"/>
      <c r="CE437" s="1"/>
      <c r="CI437" s="1"/>
    </row>
    <row r="438" spans="52:87">
      <c r="AZ438" s="1"/>
      <c r="BF438" s="6"/>
      <c r="BG438" s="6"/>
      <c r="BP438" s="6"/>
      <c r="BQ438" s="6"/>
      <c r="BR438" s="6"/>
      <c r="BS438" s="6"/>
      <c r="CE438" s="1"/>
      <c r="CI438" s="1"/>
    </row>
    <row r="439" spans="52:87">
      <c r="AZ439" s="1"/>
      <c r="BF439" s="6"/>
      <c r="BG439" s="6"/>
      <c r="BP439" s="6"/>
      <c r="BQ439" s="6"/>
      <c r="BR439" s="6"/>
      <c r="BS439" s="6"/>
      <c r="CE439" s="1"/>
      <c r="CI439" s="1"/>
    </row>
    <row r="440" spans="52:87">
      <c r="AZ440" s="1"/>
      <c r="BF440" s="6"/>
      <c r="BG440" s="6"/>
      <c r="BP440" s="6"/>
      <c r="BQ440" s="6"/>
      <c r="BR440" s="6"/>
      <c r="BS440" s="6"/>
      <c r="CE440" s="1"/>
      <c r="CI440" s="1"/>
    </row>
    <row r="441" spans="52:87">
      <c r="AZ441" s="1"/>
      <c r="BF441" s="6"/>
      <c r="BG441" s="6"/>
      <c r="BP441" s="6"/>
      <c r="BQ441" s="6"/>
      <c r="BR441" s="6"/>
      <c r="BS441" s="6"/>
      <c r="CE441" s="1"/>
      <c r="CI441" s="1"/>
    </row>
    <row r="442" spans="52:87">
      <c r="AZ442" s="1"/>
      <c r="BF442" s="6"/>
      <c r="BG442" s="6"/>
      <c r="BP442" s="6"/>
      <c r="BQ442" s="6"/>
      <c r="BR442" s="6"/>
      <c r="BS442" s="6"/>
      <c r="CE442" s="1"/>
      <c r="CI442" s="1"/>
    </row>
    <row r="443" spans="52:87">
      <c r="AZ443" s="1"/>
      <c r="BF443" s="6"/>
      <c r="BG443" s="6"/>
      <c r="BP443" s="6"/>
      <c r="BQ443" s="6"/>
      <c r="BR443" s="6"/>
      <c r="BS443" s="6"/>
      <c r="CE443" s="1"/>
      <c r="CI443" s="1"/>
    </row>
    <row r="444" spans="52:87">
      <c r="AZ444" s="1"/>
      <c r="BF444" s="6"/>
      <c r="BG444" s="6"/>
      <c r="BP444" s="6"/>
      <c r="BQ444" s="6"/>
      <c r="BR444" s="6"/>
      <c r="BS444" s="6"/>
      <c r="CE444" s="1"/>
      <c r="CI444" s="1"/>
    </row>
    <row r="445" spans="52:87">
      <c r="AZ445" s="1"/>
      <c r="BF445" s="6"/>
      <c r="BG445" s="6"/>
      <c r="BP445" s="6"/>
      <c r="BQ445" s="6"/>
      <c r="BR445" s="6"/>
      <c r="BS445" s="6"/>
      <c r="CE445" s="1"/>
      <c r="CI445" s="1"/>
    </row>
    <row r="446" spans="52:87">
      <c r="AZ446" s="1"/>
      <c r="BF446" s="6"/>
      <c r="BG446" s="6"/>
      <c r="BP446" s="6"/>
      <c r="BQ446" s="6"/>
      <c r="BR446" s="6"/>
      <c r="BS446" s="6"/>
      <c r="CE446" s="1"/>
      <c r="CI446" s="1"/>
    </row>
    <row r="447" spans="52:87">
      <c r="AZ447" s="1"/>
      <c r="BF447" s="6"/>
      <c r="BG447" s="6"/>
      <c r="BP447" s="6"/>
      <c r="BQ447" s="6"/>
      <c r="BR447" s="6"/>
      <c r="BS447" s="6"/>
      <c r="CE447" s="1"/>
      <c r="CI447" s="1"/>
    </row>
    <row r="448" spans="52:87">
      <c r="AZ448" s="1"/>
      <c r="BF448" s="6"/>
      <c r="BG448" s="6"/>
      <c r="BP448" s="6"/>
      <c r="BQ448" s="6"/>
      <c r="BR448" s="6"/>
      <c r="BS448" s="6"/>
      <c r="CE448" s="1"/>
      <c r="CI448" s="1"/>
    </row>
    <row r="449" spans="52:87">
      <c r="AZ449" s="1"/>
      <c r="BF449" s="6"/>
      <c r="BG449" s="6"/>
      <c r="BP449" s="6"/>
      <c r="BQ449" s="6"/>
      <c r="BR449" s="6"/>
      <c r="BS449" s="6"/>
      <c r="CE449" s="1"/>
      <c r="CI449" s="1"/>
    </row>
    <row r="450" spans="52:87">
      <c r="AZ450" s="1"/>
      <c r="BF450" s="6"/>
      <c r="BG450" s="6"/>
      <c r="BP450" s="6"/>
      <c r="BQ450" s="6"/>
      <c r="BR450" s="6"/>
      <c r="BS450" s="6"/>
      <c r="CE450" s="1"/>
      <c r="CI450" s="1"/>
    </row>
    <row r="451" spans="52:87">
      <c r="AZ451" s="1"/>
      <c r="BF451" s="6"/>
      <c r="BG451" s="6"/>
      <c r="BP451" s="6"/>
      <c r="BQ451" s="6"/>
      <c r="BR451" s="6"/>
      <c r="BS451" s="6"/>
      <c r="CE451" s="1"/>
      <c r="CI451" s="1"/>
    </row>
    <row r="452" spans="52:87">
      <c r="AZ452" s="1"/>
      <c r="BF452" s="6"/>
      <c r="BG452" s="6"/>
      <c r="BP452" s="6"/>
      <c r="BQ452" s="6"/>
      <c r="BR452" s="6"/>
      <c r="BS452" s="6"/>
      <c r="CE452" s="1"/>
      <c r="CI452" s="1"/>
    </row>
    <row r="453" spans="52:87">
      <c r="AZ453" s="1"/>
      <c r="BF453" s="6"/>
      <c r="BG453" s="6"/>
      <c r="BP453" s="6"/>
      <c r="BQ453" s="6"/>
      <c r="BR453" s="6"/>
      <c r="BS453" s="6"/>
      <c r="CE453" s="1"/>
      <c r="CI453" s="1"/>
    </row>
    <row r="454" spans="52:87">
      <c r="AZ454" s="1"/>
      <c r="BF454" s="6"/>
      <c r="BG454" s="6"/>
      <c r="BP454" s="6"/>
      <c r="BQ454" s="6"/>
      <c r="BR454" s="6"/>
      <c r="BS454" s="6"/>
      <c r="CE454" s="1"/>
      <c r="CI454" s="1"/>
    </row>
    <row r="455" spans="52:87">
      <c r="AZ455" s="1"/>
      <c r="BF455" s="6"/>
      <c r="BG455" s="6"/>
      <c r="BP455" s="6"/>
      <c r="BQ455" s="6"/>
      <c r="BR455" s="6"/>
      <c r="BS455" s="6"/>
      <c r="CE455" s="1"/>
      <c r="CI455" s="1"/>
    </row>
    <row r="456" spans="52:87">
      <c r="AZ456" s="1"/>
      <c r="BF456" s="6"/>
      <c r="BG456" s="6"/>
      <c r="BP456" s="6"/>
      <c r="BQ456" s="6"/>
      <c r="BR456" s="6"/>
      <c r="BS456" s="6"/>
      <c r="CE456" s="1"/>
      <c r="CI456" s="1"/>
    </row>
    <row r="457" spans="52:87">
      <c r="AZ457" s="1"/>
      <c r="BF457" s="6"/>
      <c r="BG457" s="6"/>
      <c r="BP457" s="6"/>
      <c r="BQ457" s="6"/>
      <c r="BR457" s="6"/>
      <c r="BS457" s="6"/>
      <c r="CE457" s="1"/>
      <c r="CI457" s="1"/>
    </row>
    <row r="458" spans="52:87">
      <c r="AZ458" s="1"/>
      <c r="BF458" s="6"/>
      <c r="BG458" s="6"/>
      <c r="BP458" s="6"/>
      <c r="BQ458" s="6"/>
      <c r="BR458" s="6"/>
      <c r="BS458" s="6"/>
      <c r="CE458" s="1"/>
      <c r="CI458" s="1"/>
    </row>
    <row r="459" spans="52:87">
      <c r="AZ459" s="1"/>
      <c r="BF459" s="6"/>
      <c r="BG459" s="6"/>
      <c r="BP459" s="6"/>
      <c r="BQ459" s="6"/>
      <c r="BR459" s="6"/>
      <c r="BS459" s="6"/>
      <c r="CE459" s="1"/>
      <c r="CI459" s="1"/>
    </row>
    <row r="460" spans="52:87">
      <c r="AZ460" s="1"/>
      <c r="BF460" s="6"/>
      <c r="BG460" s="6"/>
      <c r="BP460" s="6"/>
      <c r="BQ460" s="6"/>
      <c r="BR460" s="6"/>
      <c r="BS460" s="6"/>
      <c r="CE460" s="1"/>
      <c r="CI460" s="1"/>
    </row>
    <row r="461" spans="52:87">
      <c r="AZ461" s="1"/>
      <c r="BF461" s="6"/>
      <c r="BG461" s="6"/>
      <c r="BP461" s="6"/>
      <c r="BQ461" s="6"/>
      <c r="BR461" s="6"/>
      <c r="BS461" s="6"/>
      <c r="CE461" s="1"/>
      <c r="CI461" s="1"/>
    </row>
    <row r="462" spans="52:87">
      <c r="AZ462" s="1"/>
      <c r="BF462" s="6"/>
      <c r="BG462" s="6"/>
      <c r="BP462" s="6"/>
      <c r="BQ462" s="6"/>
      <c r="BR462" s="6"/>
      <c r="BS462" s="6"/>
      <c r="CE462" s="1"/>
      <c r="CI462" s="1"/>
    </row>
    <row r="463" spans="52:87">
      <c r="AZ463" s="1"/>
      <c r="BF463" s="6"/>
      <c r="BG463" s="6"/>
      <c r="BP463" s="6"/>
      <c r="BQ463" s="6"/>
      <c r="BR463" s="6"/>
      <c r="BS463" s="6"/>
      <c r="CE463" s="1"/>
      <c r="CI463" s="1"/>
    </row>
    <row r="464" spans="52:87">
      <c r="AZ464" s="1"/>
      <c r="BF464" s="6"/>
      <c r="BG464" s="6"/>
      <c r="BP464" s="6"/>
      <c r="BQ464" s="6"/>
      <c r="BR464" s="6"/>
      <c r="BS464" s="6"/>
      <c r="CE464" s="1"/>
      <c r="CI464" s="1"/>
    </row>
    <row r="465" spans="52:87">
      <c r="AZ465" s="1"/>
      <c r="BF465" s="6"/>
      <c r="BG465" s="6"/>
      <c r="BP465" s="6"/>
      <c r="BQ465" s="6"/>
      <c r="BR465" s="6"/>
      <c r="BS465" s="6"/>
      <c r="CE465" s="1"/>
      <c r="CI465" s="1"/>
    </row>
    <row r="466" spans="52:87">
      <c r="AZ466" s="1"/>
      <c r="BF466" s="6"/>
      <c r="BG466" s="6"/>
      <c r="BP466" s="6"/>
      <c r="BQ466" s="6"/>
      <c r="BR466" s="6"/>
      <c r="BS466" s="6"/>
      <c r="CE466" s="1"/>
      <c r="CI466" s="1"/>
    </row>
    <row r="467" spans="52:87">
      <c r="AZ467" s="1"/>
      <c r="BF467" s="6"/>
      <c r="BG467" s="6"/>
      <c r="BP467" s="6"/>
      <c r="BQ467" s="6"/>
      <c r="BR467" s="6"/>
      <c r="BS467" s="6"/>
      <c r="CE467" s="1"/>
      <c r="CI467" s="1"/>
    </row>
    <row r="468" spans="52:87">
      <c r="AZ468" s="1"/>
      <c r="BF468" s="6"/>
      <c r="BG468" s="6"/>
      <c r="BP468" s="6"/>
      <c r="BQ468" s="6"/>
      <c r="BR468" s="6"/>
      <c r="BS468" s="6"/>
      <c r="CE468" s="1"/>
      <c r="CI468" s="1"/>
    </row>
    <row r="469" spans="52:87">
      <c r="AZ469" s="1"/>
      <c r="BF469" s="6"/>
      <c r="BG469" s="6"/>
      <c r="BP469" s="6"/>
      <c r="BQ469" s="6"/>
      <c r="BR469" s="6"/>
      <c r="BS469" s="6"/>
      <c r="CE469" s="1"/>
      <c r="CI469" s="1"/>
    </row>
    <row r="470" spans="52:87">
      <c r="AZ470" s="1"/>
      <c r="BF470" s="6"/>
      <c r="BG470" s="6"/>
      <c r="BP470" s="6"/>
      <c r="BQ470" s="6"/>
      <c r="BR470" s="6"/>
      <c r="BS470" s="6"/>
      <c r="CE470" s="1"/>
      <c r="CI470" s="1"/>
    </row>
    <row r="471" spans="52:87">
      <c r="AZ471" s="1"/>
      <c r="BF471" s="6"/>
      <c r="BG471" s="6"/>
      <c r="BP471" s="6"/>
      <c r="BQ471" s="6"/>
      <c r="BR471" s="6"/>
      <c r="BS471" s="6"/>
      <c r="CE471" s="1"/>
      <c r="CI471" s="1"/>
    </row>
    <row r="472" spans="52:87">
      <c r="AZ472" s="1"/>
      <c r="BF472" s="6"/>
      <c r="BG472" s="6"/>
      <c r="BP472" s="6"/>
      <c r="BQ472" s="6"/>
      <c r="BR472" s="6"/>
      <c r="BS472" s="6"/>
      <c r="CE472" s="1"/>
      <c r="CI472" s="1"/>
    </row>
    <row r="473" spans="52:87">
      <c r="AZ473" s="1"/>
      <c r="BF473" s="6"/>
      <c r="BG473" s="6"/>
      <c r="BP473" s="6"/>
      <c r="BQ473" s="6"/>
      <c r="BR473" s="6"/>
      <c r="BS473" s="6"/>
      <c r="CE473" s="1"/>
      <c r="CI473" s="1"/>
    </row>
    <row r="474" spans="52:87">
      <c r="AZ474" s="1"/>
      <c r="BF474" s="6"/>
      <c r="BG474" s="6"/>
      <c r="BP474" s="6"/>
      <c r="BQ474" s="6"/>
      <c r="BR474" s="6"/>
      <c r="BS474" s="6"/>
      <c r="CE474" s="1"/>
      <c r="CI474" s="1"/>
    </row>
    <row r="475" spans="52:87">
      <c r="AZ475" s="1"/>
      <c r="BF475" s="6"/>
      <c r="BG475" s="6"/>
      <c r="BP475" s="6"/>
      <c r="BQ475" s="6"/>
      <c r="BR475" s="6"/>
      <c r="BS475" s="6"/>
      <c r="CE475" s="1"/>
      <c r="CI475" s="1"/>
    </row>
    <row r="476" spans="52:87">
      <c r="AZ476" s="1"/>
      <c r="BF476" s="6"/>
      <c r="BG476" s="6"/>
      <c r="BP476" s="6"/>
      <c r="BQ476" s="6"/>
      <c r="BR476" s="6"/>
      <c r="BS476" s="6"/>
      <c r="CE476" s="1"/>
      <c r="CI476" s="1"/>
    </row>
    <row r="477" spans="52:87">
      <c r="AZ477" s="1"/>
      <c r="BF477" s="6"/>
      <c r="BG477" s="6"/>
      <c r="BP477" s="6"/>
      <c r="BQ477" s="6"/>
      <c r="BR477" s="6"/>
      <c r="BS477" s="6"/>
      <c r="CE477" s="1"/>
      <c r="CI477" s="1"/>
    </row>
    <row r="478" spans="52:87">
      <c r="AZ478" s="1"/>
      <c r="BF478" s="6"/>
      <c r="BG478" s="6"/>
      <c r="BP478" s="6"/>
      <c r="BQ478" s="6"/>
      <c r="BR478" s="6"/>
      <c r="BS478" s="6"/>
      <c r="CE478" s="1"/>
      <c r="CI478" s="1"/>
    </row>
    <row r="479" spans="52:87">
      <c r="AZ479" s="1"/>
      <c r="BF479" s="6"/>
      <c r="BG479" s="6"/>
      <c r="BP479" s="6"/>
      <c r="BQ479" s="6"/>
      <c r="BR479" s="6"/>
      <c r="BS479" s="6"/>
      <c r="CE479" s="1"/>
      <c r="CI479" s="1"/>
    </row>
    <row r="480" spans="52:87">
      <c r="AZ480" s="1"/>
      <c r="BF480" s="6"/>
      <c r="BG480" s="6"/>
      <c r="BP480" s="6"/>
      <c r="BQ480" s="6"/>
      <c r="BR480" s="6"/>
      <c r="BS480" s="6"/>
      <c r="CE480" s="1"/>
      <c r="CI480" s="1"/>
    </row>
    <row r="481" spans="52:87">
      <c r="AZ481" s="1"/>
      <c r="BF481" s="6"/>
      <c r="BG481" s="6"/>
      <c r="BP481" s="6"/>
      <c r="BQ481" s="6"/>
      <c r="BR481" s="6"/>
      <c r="BS481" s="6"/>
      <c r="CE481" s="1"/>
      <c r="CI481" s="1"/>
    </row>
    <row r="482" spans="52:87">
      <c r="AZ482" s="1"/>
      <c r="BF482" s="6"/>
      <c r="BG482" s="6"/>
      <c r="BP482" s="6"/>
      <c r="BQ482" s="6"/>
      <c r="BR482" s="6"/>
      <c r="BS482" s="6"/>
      <c r="CE482" s="1"/>
      <c r="CI482" s="1"/>
    </row>
    <row r="483" spans="52:87">
      <c r="AZ483" s="1"/>
      <c r="BF483" s="6"/>
      <c r="BG483" s="6"/>
      <c r="BP483" s="6"/>
      <c r="BQ483" s="6"/>
      <c r="BR483" s="6"/>
      <c r="BS483" s="6"/>
      <c r="CE483" s="1"/>
      <c r="CI483" s="1"/>
    </row>
    <row r="484" spans="52:87">
      <c r="AZ484" s="1"/>
      <c r="BF484" s="6"/>
      <c r="BG484" s="6"/>
      <c r="BP484" s="6"/>
      <c r="BQ484" s="6"/>
      <c r="BR484" s="6"/>
      <c r="BS484" s="6"/>
      <c r="CE484" s="1"/>
      <c r="CI484" s="1"/>
    </row>
    <row r="485" spans="52:87">
      <c r="AZ485" s="1"/>
      <c r="BF485" s="6"/>
      <c r="BG485" s="6"/>
      <c r="BP485" s="6"/>
      <c r="BQ485" s="6"/>
      <c r="BR485" s="6"/>
      <c r="BS485" s="6"/>
      <c r="CE485" s="1"/>
      <c r="CI485" s="1"/>
    </row>
    <row r="486" spans="52:87">
      <c r="AZ486" s="1"/>
      <c r="BF486" s="6"/>
      <c r="BG486" s="6"/>
      <c r="BP486" s="6"/>
      <c r="BQ486" s="6"/>
      <c r="BR486" s="6"/>
      <c r="BS486" s="6"/>
      <c r="CE486" s="1"/>
      <c r="CI486" s="1"/>
    </row>
    <row r="487" spans="52:87">
      <c r="AZ487" s="1"/>
      <c r="BF487" s="6"/>
      <c r="BG487" s="6"/>
      <c r="BP487" s="6"/>
      <c r="BQ487" s="6"/>
      <c r="BR487" s="6"/>
      <c r="BS487" s="6"/>
      <c r="CE487" s="1"/>
      <c r="CI487" s="1"/>
    </row>
    <row r="488" spans="52:87">
      <c r="AZ488" s="1"/>
      <c r="BF488" s="6"/>
      <c r="BG488" s="6"/>
      <c r="BP488" s="6"/>
      <c r="BQ488" s="6"/>
      <c r="BR488" s="6"/>
      <c r="BS488" s="6"/>
      <c r="CE488" s="1"/>
      <c r="CI488" s="1"/>
    </row>
    <row r="489" spans="52:87">
      <c r="AZ489" s="1"/>
      <c r="BF489" s="6"/>
      <c r="BG489" s="6"/>
      <c r="BP489" s="6"/>
      <c r="BQ489" s="6"/>
      <c r="BR489" s="6"/>
      <c r="BS489" s="6"/>
      <c r="CE489" s="1"/>
      <c r="CI489" s="1"/>
    </row>
    <row r="490" spans="52:87">
      <c r="AZ490" s="1"/>
      <c r="BF490" s="6"/>
      <c r="BG490" s="6"/>
      <c r="BP490" s="6"/>
      <c r="BQ490" s="6"/>
      <c r="BR490" s="6"/>
      <c r="BS490" s="6"/>
      <c r="CE490" s="1"/>
      <c r="CI490" s="1"/>
    </row>
    <row r="491" spans="52:87">
      <c r="AZ491" s="1"/>
      <c r="BF491" s="6"/>
      <c r="BG491" s="6"/>
      <c r="BP491" s="6"/>
      <c r="BQ491" s="6"/>
      <c r="BR491" s="6"/>
      <c r="BS491" s="6"/>
      <c r="CE491" s="1"/>
      <c r="CI491" s="1"/>
    </row>
    <row r="492" spans="52:87">
      <c r="AZ492" s="1"/>
      <c r="BF492" s="6"/>
      <c r="BG492" s="6"/>
      <c r="BP492" s="6"/>
      <c r="BQ492" s="6"/>
      <c r="BR492" s="6"/>
      <c r="BS492" s="6"/>
      <c r="CE492" s="1"/>
      <c r="CI492" s="1"/>
    </row>
    <row r="493" spans="52:87">
      <c r="AZ493" s="1"/>
      <c r="BF493" s="6"/>
      <c r="BG493" s="6"/>
      <c r="BP493" s="6"/>
      <c r="BQ493" s="6"/>
      <c r="BR493" s="6"/>
      <c r="BS493" s="6"/>
      <c r="CE493" s="1"/>
      <c r="CI493" s="1"/>
    </row>
    <row r="494" spans="52:87">
      <c r="AZ494" s="1"/>
      <c r="BF494" s="6"/>
      <c r="BG494" s="6"/>
      <c r="BP494" s="6"/>
      <c r="BQ494" s="6"/>
      <c r="BR494" s="6"/>
      <c r="BS494" s="6"/>
      <c r="CE494" s="1"/>
      <c r="CI494" s="1"/>
    </row>
    <row r="495" spans="52:87">
      <c r="AZ495" s="1"/>
      <c r="BF495" s="6"/>
      <c r="BG495" s="6"/>
      <c r="BP495" s="6"/>
      <c r="BQ495" s="6"/>
      <c r="BR495" s="6"/>
      <c r="BS495" s="6"/>
      <c r="CE495" s="1"/>
      <c r="CI495" s="1"/>
    </row>
    <row r="496" spans="52:87">
      <c r="AZ496" s="1"/>
      <c r="BF496" s="6"/>
      <c r="BG496" s="6"/>
      <c r="BP496" s="6"/>
      <c r="BQ496" s="6"/>
      <c r="BR496" s="6"/>
      <c r="BS496" s="6"/>
      <c r="CE496" s="1"/>
      <c r="CI496" s="1"/>
    </row>
    <row r="497" spans="52:87">
      <c r="AZ497" s="1"/>
      <c r="BF497" s="6"/>
      <c r="BG497" s="6"/>
      <c r="BP497" s="6"/>
      <c r="BQ497" s="6"/>
      <c r="BR497" s="6"/>
      <c r="BS497" s="6"/>
      <c r="CE497" s="1"/>
      <c r="CI497" s="1"/>
    </row>
    <row r="498" spans="52:87">
      <c r="AZ498" s="1"/>
      <c r="BF498" s="6"/>
      <c r="BG498" s="6"/>
      <c r="BP498" s="6"/>
      <c r="BQ498" s="6"/>
      <c r="BR498" s="6"/>
      <c r="BS498" s="6"/>
      <c r="CE498" s="1"/>
      <c r="CI498" s="1"/>
    </row>
    <row r="499" spans="52:87">
      <c r="AZ499" s="1"/>
      <c r="BF499" s="6"/>
      <c r="BG499" s="6"/>
      <c r="BP499" s="6"/>
      <c r="BQ499" s="6"/>
      <c r="BR499" s="6"/>
      <c r="BS499" s="6"/>
      <c r="CE499" s="1"/>
      <c r="CI499" s="1"/>
    </row>
    <row r="500" spans="52:87">
      <c r="AZ500" s="1"/>
      <c r="BF500" s="6"/>
      <c r="BG500" s="6"/>
      <c r="BP500" s="6"/>
      <c r="BQ500" s="6"/>
      <c r="BR500" s="6"/>
      <c r="BS500" s="6"/>
      <c r="CE500" s="1"/>
      <c r="CI500" s="1"/>
    </row>
    <row r="501" spans="52:87">
      <c r="AZ501" s="1"/>
      <c r="BF501" s="6"/>
      <c r="BG501" s="6"/>
      <c r="BP501" s="6"/>
      <c r="BQ501" s="6"/>
      <c r="BR501" s="6"/>
      <c r="BS501" s="6"/>
      <c r="CE501" s="1"/>
      <c r="CI501" s="1"/>
    </row>
    <row r="502" spans="52:87">
      <c r="AZ502" s="1"/>
      <c r="BF502" s="6"/>
      <c r="BG502" s="6"/>
      <c r="BP502" s="6"/>
      <c r="BQ502" s="6"/>
      <c r="BR502" s="6"/>
      <c r="BS502" s="6"/>
      <c r="CE502" s="1"/>
      <c r="CI502" s="1"/>
    </row>
    <row r="503" spans="52:87">
      <c r="AZ503" s="1"/>
      <c r="BF503" s="6"/>
      <c r="BG503" s="6"/>
      <c r="BP503" s="6"/>
      <c r="BQ503" s="6"/>
      <c r="BR503" s="6"/>
      <c r="BS503" s="6"/>
      <c r="CE503" s="1"/>
      <c r="CI503" s="1"/>
    </row>
    <row r="504" spans="52:87">
      <c r="AZ504" s="1"/>
      <c r="BF504" s="6"/>
      <c r="BG504" s="6"/>
      <c r="BP504" s="6"/>
      <c r="BQ504" s="6"/>
      <c r="BR504" s="6"/>
      <c r="BS504" s="6"/>
      <c r="CE504" s="1"/>
      <c r="CI504" s="1"/>
    </row>
    <row r="505" spans="52:87">
      <c r="AZ505" s="1"/>
      <c r="BF505" s="6"/>
      <c r="BG505" s="6"/>
      <c r="BP505" s="6"/>
      <c r="BQ505" s="6"/>
      <c r="BR505" s="6"/>
      <c r="BS505" s="6"/>
      <c r="CE505" s="1"/>
      <c r="CI505" s="1"/>
    </row>
    <row r="506" spans="52:87">
      <c r="AZ506" s="1"/>
      <c r="BF506" s="6"/>
      <c r="BG506" s="6"/>
      <c r="BP506" s="6"/>
      <c r="BQ506" s="6"/>
      <c r="BR506" s="6"/>
      <c r="BS506" s="6"/>
      <c r="CE506" s="1"/>
      <c r="CI506" s="1"/>
    </row>
    <row r="507" spans="52:87">
      <c r="AZ507" s="1"/>
      <c r="BF507" s="6"/>
      <c r="BG507" s="6"/>
      <c r="BP507" s="6"/>
      <c r="BQ507" s="6"/>
      <c r="BR507" s="6"/>
      <c r="BS507" s="6"/>
      <c r="CE507" s="1"/>
      <c r="CI507" s="1"/>
    </row>
    <row r="508" spans="52:87">
      <c r="AZ508" s="1"/>
      <c r="BF508" s="6"/>
      <c r="BG508" s="6"/>
      <c r="BP508" s="6"/>
      <c r="BQ508" s="6"/>
      <c r="BR508" s="6"/>
      <c r="BS508" s="6"/>
      <c r="CE508" s="1"/>
      <c r="CI508" s="1"/>
    </row>
    <row r="509" spans="52:87">
      <c r="AZ509" s="1"/>
      <c r="BF509" s="6"/>
      <c r="BG509" s="6"/>
      <c r="BP509" s="6"/>
      <c r="BQ509" s="6"/>
      <c r="BR509" s="6"/>
      <c r="BS509" s="6"/>
      <c r="CE509" s="1"/>
      <c r="CI509" s="1"/>
    </row>
    <row r="510" spans="52:87">
      <c r="AZ510" s="1"/>
      <c r="BF510" s="6"/>
      <c r="BG510" s="6"/>
      <c r="BP510" s="6"/>
      <c r="BQ510" s="6"/>
      <c r="BR510" s="6"/>
      <c r="BS510" s="6"/>
      <c r="CE510" s="1"/>
      <c r="CI510" s="1"/>
    </row>
    <row r="511" spans="52:87">
      <c r="AZ511" s="1"/>
      <c r="BF511" s="6"/>
      <c r="BG511" s="6"/>
      <c r="BP511" s="6"/>
      <c r="BQ511" s="6"/>
      <c r="BR511" s="6"/>
      <c r="BS511" s="6"/>
      <c r="CE511" s="1"/>
      <c r="CI511" s="1"/>
    </row>
    <row r="512" spans="52:87">
      <c r="AZ512" s="1"/>
      <c r="BF512" s="6"/>
      <c r="BG512" s="6"/>
      <c r="BP512" s="6"/>
      <c r="BQ512" s="6"/>
      <c r="BR512" s="6"/>
      <c r="BS512" s="6"/>
      <c r="CE512" s="1"/>
      <c r="CI512" s="1"/>
    </row>
    <row r="513" spans="52:87">
      <c r="AZ513" s="1"/>
      <c r="BF513" s="6"/>
      <c r="BG513" s="6"/>
      <c r="BP513" s="6"/>
      <c r="BQ513" s="6"/>
      <c r="BR513" s="6"/>
      <c r="BS513" s="6"/>
      <c r="CE513" s="1"/>
      <c r="CI513" s="1"/>
    </row>
    <row r="514" spans="52:87">
      <c r="AZ514" s="1"/>
      <c r="BF514" s="6"/>
      <c r="BG514" s="6"/>
      <c r="BP514" s="6"/>
      <c r="BQ514" s="6"/>
      <c r="BR514" s="6"/>
      <c r="BS514" s="6"/>
      <c r="CE514" s="1"/>
      <c r="CI514" s="1"/>
    </row>
    <row r="515" spans="52:87">
      <c r="AZ515" s="1"/>
      <c r="BF515" s="6"/>
      <c r="BG515" s="6"/>
      <c r="BP515" s="6"/>
      <c r="BQ515" s="6"/>
      <c r="BR515" s="6"/>
      <c r="BS515" s="6"/>
      <c r="CE515" s="1"/>
      <c r="CI515" s="1"/>
    </row>
    <row r="516" spans="52:87">
      <c r="AZ516" s="1"/>
      <c r="BF516" s="6"/>
      <c r="BG516" s="6"/>
      <c r="BP516" s="6"/>
      <c r="BQ516" s="6"/>
      <c r="BR516" s="6"/>
      <c r="BS516" s="6"/>
      <c r="CE516" s="1"/>
      <c r="CI516" s="1"/>
    </row>
    <row r="517" spans="52:87">
      <c r="AZ517" s="1"/>
      <c r="BF517" s="6"/>
      <c r="BG517" s="6"/>
      <c r="BP517" s="6"/>
      <c r="BQ517" s="6"/>
      <c r="BR517" s="6"/>
      <c r="BS517" s="6"/>
      <c r="CE517" s="1"/>
      <c r="CI517" s="1"/>
    </row>
    <row r="518" spans="52:87">
      <c r="AZ518" s="1"/>
      <c r="BF518" s="6"/>
      <c r="BG518" s="6"/>
      <c r="BP518" s="6"/>
      <c r="BQ518" s="6"/>
      <c r="BR518" s="6"/>
      <c r="BS518" s="6"/>
      <c r="CE518" s="1"/>
      <c r="CI518" s="1"/>
    </row>
    <row r="519" spans="52:87">
      <c r="AZ519" s="1"/>
      <c r="BF519" s="6"/>
      <c r="BG519" s="6"/>
      <c r="BP519" s="6"/>
      <c r="BQ519" s="6"/>
      <c r="BR519" s="6"/>
      <c r="BS519" s="6"/>
      <c r="CE519" s="1"/>
      <c r="CI519" s="1"/>
    </row>
    <row r="520" spans="52:87">
      <c r="AZ520" s="1"/>
      <c r="BF520" s="6"/>
      <c r="BG520" s="6"/>
      <c r="BP520" s="6"/>
      <c r="BQ520" s="6"/>
      <c r="BR520" s="6"/>
      <c r="BS520" s="6"/>
      <c r="CE520" s="1"/>
      <c r="CI520" s="1"/>
    </row>
    <row r="521" spans="52:87">
      <c r="AZ521" s="1"/>
      <c r="BF521" s="6"/>
      <c r="BG521" s="6"/>
      <c r="BP521" s="6"/>
      <c r="BQ521" s="6"/>
      <c r="BR521" s="6"/>
      <c r="BS521" s="6"/>
      <c r="CE521" s="1"/>
      <c r="CI521" s="1"/>
    </row>
    <row r="522" spans="52:87">
      <c r="AZ522" s="1"/>
      <c r="BF522" s="6"/>
      <c r="BG522" s="6"/>
      <c r="BP522" s="6"/>
      <c r="BQ522" s="6"/>
      <c r="BR522" s="6"/>
      <c r="BS522" s="6"/>
      <c r="CE522" s="1"/>
      <c r="CI522" s="1"/>
    </row>
    <row r="523" spans="52:87">
      <c r="AZ523" s="1"/>
      <c r="BF523" s="6"/>
      <c r="BG523" s="6"/>
      <c r="BP523" s="6"/>
      <c r="BQ523" s="6"/>
      <c r="BR523" s="6"/>
      <c r="BS523" s="6"/>
      <c r="CE523" s="1"/>
      <c r="CI523" s="1"/>
    </row>
    <row r="524" spans="52:87">
      <c r="AZ524" s="1"/>
      <c r="BF524" s="6"/>
      <c r="BG524" s="6"/>
      <c r="BP524" s="6"/>
      <c r="BQ524" s="6"/>
      <c r="BR524" s="6"/>
      <c r="BS524" s="6"/>
      <c r="CE524" s="1"/>
      <c r="CI524" s="1"/>
    </row>
    <row r="525" spans="52:87">
      <c r="AZ525" s="1"/>
      <c r="BF525" s="6"/>
      <c r="BG525" s="6"/>
      <c r="BP525" s="6"/>
      <c r="BQ525" s="6"/>
      <c r="BR525" s="6"/>
      <c r="BS525" s="6"/>
      <c r="CE525" s="1"/>
      <c r="CI525" s="1"/>
    </row>
    <row r="526" spans="52:87">
      <c r="AZ526" s="1"/>
      <c r="BF526" s="6"/>
      <c r="BG526" s="6"/>
      <c r="BP526" s="6"/>
      <c r="BQ526" s="6"/>
      <c r="BR526" s="6"/>
      <c r="BS526" s="6"/>
      <c r="CE526" s="1"/>
      <c r="CI526" s="1"/>
    </row>
    <row r="527" spans="52:87">
      <c r="AZ527" s="1"/>
      <c r="BF527" s="6"/>
      <c r="BG527" s="6"/>
      <c r="BP527" s="6"/>
      <c r="BQ527" s="6"/>
      <c r="BR527" s="6"/>
      <c r="BS527" s="6"/>
      <c r="CE527" s="1"/>
      <c r="CI527" s="1"/>
    </row>
    <row r="528" spans="52:87">
      <c r="AZ528" s="1"/>
      <c r="BF528" s="6"/>
      <c r="BG528" s="6"/>
      <c r="BP528" s="6"/>
      <c r="BQ528" s="6"/>
      <c r="BR528" s="6"/>
      <c r="BS528" s="6"/>
      <c r="CE528" s="1"/>
      <c r="CI528" s="1"/>
    </row>
    <row r="529" spans="52:87">
      <c r="AZ529" s="1"/>
      <c r="BF529" s="6"/>
      <c r="BG529" s="6"/>
      <c r="BP529" s="6"/>
      <c r="BQ529" s="6"/>
      <c r="BR529" s="6"/>
      <c r="BS529" s="6"/>
      <c r="CE529" s="1"/>
      <c r="CI529" s="1"/>
    </row>
    <row r="530" spans="52:87">
      <c r="AZ530" s="1"/>
      <c r="BF530" s="6"/>
      <c r="BG530" s="6"/>
      <c r="BP530" s="6"/>
      <c r="BQ530" s="6"/>
      <c r="BR530" s="6"/>
      <c r="BS530" s="6"/>
      <c r="CE530" s="1"/>
      <c r="CI530" s="1"/>
    </row>
    <row r="531" spans="52:87">
      <c r="AZ531" s="1"/>
      <c r="BF531" s="6"/>
      <c r="BG531" s="6"/>
      <c r="BP531" s="6"/>
      <c r="BQ531" s="6"/>
      <c r="BR531" s="6"/>
      <c r="BS531" s="6"/>
      <c r="CE531" s="1"/>
      <c r="CI531" s="1"/>
    </row>
    <row r="532" spans="52:87">
      <c r="AZ532" s="1"/>
      <c r="BF532" s="6"/>
      <c r="BG532" s="6"/>
      <c r="BP532" s="6"/>
      <c r="BQ532" s="6"/>
      <c r="BR532" s="6"/>
      <c r="BS532" s="6"/>
      <c r="CE532" s="1"/>
      <c r="CI532" s="1"/>
    </row>
    <row r="533" spans="52:87">
      <c r="AZ533" s="1"/>
      <c r="BF533" s="6"/>
      <c r="BG533" s="6"/>
      <c r="BP533" s="6"/>
      <c r="BQ533" s="6"/>
      <c r="BR533" s="6"/>
      <c r="BS533" s="6"/>
      <c r="CE533" s="1"/>
      <c r="CI533" s="1"/>
    </row>
    <row r="534" spans="52:87">
      <c r="AZ534" s="1"/>
      <c r="BF534" s="6"/>
      <c r="BG534" s="6"/>
      <c r="BP534" s="6"/>
      <c r="BQ534" s="6"/>
      <c r="BR534" s="6"/>
      <c r="BS534" s="6"/>
      <c r="CE534" s="1"/>
      <c r="CI534" s="1"/>
    </row>
    <row r="535" spans="52:87">
      <c r="AZ535" s="1"/>
      <c r="BF535" s="6"/>
      <c r="BG535" s="6"/>
      <c r="BP535" s="6"/>
      <c r="BQ535" s="6"/>
      <c r="BR535" s="6"/>
      <c r="BS535" s="6"/>
      <c r="CE535" s="1"/>
      <c r="CI535" s="1"/>
    </row>
    <row r="536" spans="52:87">
      <c r="AZ536" s="1"/>
      <c r="BF536" s="6"/>
      <c r="BG536" s="6"/>
      <c r="BP536" s="6"/>
      <c r="BQ536" s="6"/>
      <c r="BR536" s="6"/>
      <c r="BS536" s="6"/>
      <c r="CE536" s="1"/>
      <c r="CI536" s="1"/>
    </row>
    <row r="537" spans="52:87">
      <c r="AZ537" s="1"/>
      <c r="BF537" s="6"/>
      <c r="BG537" s="6"/>
      <c r="BP537" s="6"/>
      <c r="BQ537" s="6"/>
      <c r="BR537" s="6"/>
      <c r="BS537" s="6"/>
      <c r="CE537" s="1"/>
      <c r="CI537" s="1"/>
    </row>
    <row r="538" spans="52:87">
      <c r="AZ538" s="1"/>
      <c r="BF538" s="6"/>
      <c r="BG538" s="6"/>
      <c r="BP538" s="6"/>
      <c r="BQ538" s="6"/>
      <c r="BR538" s="6"/>
      <c r="BS538" s="6"/>
      <c r="CE538" s="1"/>
      <c r="CI538" s="1"/>
    </row>
    <row r="539" spans="52:87">
      <c r="AZ539" s="1"/>
      <c r="BF539" s="6"/>
      <c r="BG539" s="6"/>
      <c r="BP539" s="6"/>
      <c r="BQ539" s="6"/>
      <c r="BR539" s="6"/>
      <c r="BS539" s="6"/>
      <c r="CE539" s="1"/>
      <c r="CI539" s="1"/>
    </row>
    <row r="540" spans="52:87">
      <c r="AZ540" s="1"/>
      <c r="BF540" s="6"/>
      <c r="BG540" s="6"/>
      <c r="BP540" s="6"/>
      <c r="BQ540" s="6"/>
      <c r="BR540" s="6"/>
      <c r="BS540" s="6"/>
      <c r="CE540" s="1"/>
      <c r="CI540" s="1"/>
    </row>
    <row r="541" spans="52:87">
      <c r="AZ541" s="1"/>
      <c r="BF541" s="6"/>
      <c r="BG541" s="6"/>
      <c r="BP541" s="6"/>
      <c r="BQ541" s="6"/>
      <c r="BR541" s="6"/>
      <c r="BS541" s="6"/>
      <c r="CE541" s="1"/>
      <c r="CI541" s="1"/>
    </row>
    <row r="542" spans="52:87">
      <c r="AZ542" s="1"/>
      <c r="BF542" s="6"/>
      <c r="BG542" s="6"/>
      <c r="BP542" s="6"/>
      <c r="BQ542" s="6"/>
      <c r="BR542" s="6"/>
      <c r="BS542" s="6"/>
      <c r="CE542" s="1"/>
      <c r="CI542" s="1"/>
    </row>
    <row r="543" spans="52:87">
      <c r="AZ543" s="1"/>
      <c r="BF543" s="6"/>
      <c r="BG543" s="6"/>
      <c r="BP543" s="6"/>
      <c r="BQ543" s="6"/>
      <c r="BR543" s="6"/>
      <c r="BS543" s="6"/>
      <c r="CE543" s="1"/>
      <c r="CI543" s="1"/>
    </row>
    <row r="544" spans="52:87">
      <c r="AZ544" s="1"/>
      <c r="BF544" s="6"/>
      <c r="BG544" s="6"/>
      <c r="BP544" s="6"/>
      <c r="BQ544" s="6"/>
      <c r="BR544" s="6"/>
      <c r="BS544" s="6"/>
      <c r="CE544" s="1"/>
      <c r="CI544" s="1"/>
    </row>
    <row r="545" spans="52:87">
      <c r="AZ545" s="1"/>
      <c r="BF545" s="6"/>
      <c r="BG545" s="6"/>
      <c r="BP545" s="6"/>
      <c r="BQ545" s="6"/>
      <c r="BR545" s="6"/>
      <c r="BS545" s="6"/>
      <c r="CE545" s="1"/>
      <c r="CI545" s="1"/>
    </row>
    <row r="546" spans="52:87">
      <c r="AZ546" s="1"/>
      <c r="BF546" s="6"/>
      <c r="BG546" s="6"/>
      <c r="BP546" s="6"/>
      <c r="BQ546" s="6"/>
      <c r="BR546" s="6"/>
      <c r="BS546" s="6"/>
      <c r="CE546" s="1"/>
      <c r="CI546" s="1"/>
    </row>
    <row r="547" spans="52:87">
      <c r="AZ547" s="1"/>
      <c r="BF547" s="6"/>
      <c r="BG547" s="6"/>
      <c r="BP547" s="6"/>
      <c r="BQ547" s="6"/>
      <c r="BR547" s="6"/>
      <c r="BS547" s="6"/>
      <c r="CE547" s="1"/>
      <c r="CI547" s="1"/>
    </row>
    <row r="548" spans="52:87">
      <c r="AZ548" s="1"/>
      <c r="BF548" s="6"/>
      <c r="BG548" s="6"/>
      <c r="BP548" s="6"/>
      <c r="BQ548" s="6"/>
      <c r="BR548" s="6"/>
      <c r="BS548" s="6"/>
      <c r="CE548" s="1"/>
      <c r="CI548" s="1"/>
    </row>
    <row r="549" spans="52:87">
      <c r="AZ549" s="1"/>
      <c r="BF549" s="6"/>
      <c r="BG549" s="6"/>
      <c r="BP549" s="6"/>
      <c r="BQ549" s="6"/>
      <c r="BR549" s="6"/>
      <c r="BS549" s="6"/>
      <c r="CE549" s="1"/>
      <c r="CI549" s="1"/>
    </row>
    <row r="550" spans="52:87">
      <c r="AZ550" s="1"/>
      <c r="BF550" s="6"/>
      <c r="BG550" s="6"/>
      <c r="BP550" s="6"/>
      <c r="BQ550" s="6"/>
      <c r="BR550" s="6"/>
      <c r="BS550" s="6"/>
      <c r="CE550" s="1"/>
      <c r="CI550" s="1"/>
    </row>
    <row r="551" spans="52:87">
      <c r="AZ551" s="1"/>
      <c r="BF551" s="6"/>
      <c r="BG551" s="6"/>
      <c r="BP551" s="6"/>
      <c r="BQ551" s="6"/>
      <c r="BR551" s="6"/>
      <c r="BS551" s="6"/>
      <c r="CE551" s="1"/>
      <c r="CI551" s="1"/>
    </row>
    <row r="552" spans="52:87">
      <c r="AZ552" s="1"/>
      <c r="BF552" s="6"/>
      <c r="BG552" s="6"/>
      <c r="BP552" s="6"/>
      <c r="BQ552" s="6"/>
      <c r="BR552" s="6"/>
      <c r="BS552" s="6"/>
      <c r="CE552" s="1"/>
      <c r="CI552" s="1"/>
    </row>
    <row r="553" spans="52:87">
      <c r="AZ553" s="1"/>
      <c r="BF553" s="6"/>
      <c r="BG553" s="6"/>
      <c r="BP553" s="6"/>
      <c r="BQ553" s="6"/>
      <c r="BR553" s="6"/>
      <c r="BS553" s="6"/>
      <c r="CE553" s="1"/>
      <c r="CI553" s="1"/>
    </row>
    <row r="554" spans="52:87">
      <c r="AZ554" s="1"/>
      <c r="BF554" s="6"/>
      <c r="BG554" s="6"/>
      <c r="BP554" s="6"/>
      <c r="BQ554" s="6"/>
      <c r="BR554" s="6"/>
      <c r="BS554" s="6"/>
      <c r="CE554" s="1"/>
      <c r="CI554" s="1"/>
    </row>
    <row r="555" spans="52:87">
      <c r="AZ555" s="1"/>
      <c r="BF555" s="6"/>
      <c r="BG555" s="6"/>
      <c r="BP555" s="6"/>
      <c r="BQ555" s="6"/>
      <c r="BR555" s="6"/>
      <c r="BS555" s="6"/>
      <c r="CE555" s="1"/>
      <c r="CI555" s="1"/>
    </row>
    <row r="556" spans="52:87">
      <c r="AZ556" s="1"/>
      <c r="BF556" s="6"/>
      <c r="BG556" s="6"/>
      <c r="BP556" s="6"/>
      <c r="BQ556" s="6"/>
      <c r="BR556" s="6"/>
      <c r="BS556" s="6"/>
      <c r="CE556" s="1"/>
      <c r="CI556" s="1"/>
    </row>
    <row r="557" spans="52:87">
      <c r="AZ557" s="1"/>
      <c r="BF557" s="6"/>
      <c r="BG557" s="6"/>
      <c r="BP557" s="6"/>
      <c r="BQ557" s="6"/>
      <c r="BR557" s="6"/>
      <c r="BS557" s="6"/>
      <c r="CE557" s="1"/>
      <c r="CI557" s="1"/>
    </row>
    <row r="558" spans="52:87">
      <c r="AZ558" s="1"/>
      <c r="BF558" s="6"/>
      <c r="BG558" s="6"/>
      <c r="BP558" s="6"/>
      <c r="BQ558" s="6"/>
      <c r="BR558" s="6"/>
      <c r="BS558" s="6"/>
      <c r="CE558" s="1"/>
      <c r="CI558" s="1"/>
    </row>
    <row r="559" spans="52:87">
      <c r="AZ559" s="1"/>
      <c r="BF559" s="6"/>
      <c r="BG559" s="6"/>
      <c r="BP559" s="6"/>
      <c r="BQ559" s="6"/>
      <c r="BR559" s="6"/>
      <c r="BS559" s="6"/>
      <c r="CE559" s="1"/>
      <c r="CI559" s="1"/>
    </row>
    <row r="560" spans="52:87">
      <c r="AZ560" s="1"/>
      <c r="BF560" s="6"/>
      <c r="BG560" s="6"/>
      <c r="BP560" s="6"/>
      <c r="BQ560" s="6"/>
      <c r="BR560" s="6"/>
      <c r="BS560" s="6"/>
      <c r="CE560" s="1"/>
      <c r="CI560" s="1"/>
    </row>
    <row r="561" spans="52:87">
      <c r="AZ561" s="1"/>
      <c r="BF561" s="6"/>
      <c r="BG561" s="6"/>
      <c r="BP561" s="6"/>
      <c r="BQ561" s="6"/>
      <c r="BR561" s="6"/>
      <c r="BS561" s="6"/>
      <c r="CE561" s="1"/>
      <c r="CI561" s="1"/>
    </row>
    <row r="562" spans="52:87">
      <c r="AZ562" s="1"/>
      <c r="BF562" s="6"/>
      <c r="BG562" s="6"/>
      <c r="BP562" s="6"/>
      <c r="BQ562" s="6"/>
      <c r="BR562" s="6"/>
      <c r="BS562" s="6"/>
      <c r="CE562" s="1"/>
      <c r="CI562" s="1"/>
    </row>
    <row r="563" spans="52:87">
      <c r="AZ563" s="1"/>
      <c r="BF563" s="6"/>
      <c r="BG563" s="6"/>
      <c r="BP563" s="6"/>
      <c r="BQ563" s="6"/>
      <c r="BR563" s="6"/>
      <c r="BS563" s="6"/>
      <c r="CE563" s="1"/>
      <c r="CI563" s="1"/>
    </row>
    <row r="564" spans="52:87">
      <c r="AZ564" s="1"/>
      <c r="BF564" s="6"/>
      <c r="BG564" s="6"/>
      <c r="BP564" s="6"/>
      <c r="BQ564" s="6"/>
      <c r="BR564" s="6"/>
      <c r="BS564" s="6"/>
      <c r="CE564" s="1"/>
      <c r="CI564" s="1"/>
    </row>
    <row r="565" spans="52:87">
      <c r="AZ565" s="1"/>
      <c r="BF565" s="6"/>
      <c r="BG565" s="6"/>
      <c r="BP565" s="6"/>
      <c r="BQ565" s="6"/>
      <c r="BR565" s="6"/>
      <c r="BS565" s="6"/>
      <c r="CE565" s="1"/>
      <c r="CI565" s="1"/>
    </row>
    <row r="566" spans="52:87">
      <c r="AZ566" s="1"/>
      <c r="BF566" s="6"/>
      <c r="BG566" s="6"/>
      <c r="BP566" s="6"/>
      <c r="BQ566" s="6"/>
      <c r="BR566" s="6"/>
      <c r="BS566" s="6"/>
      <c r="CE566" s="1"/>
      <c r="CI566" s="1"/>
    </row>
    <row r="567" spans="52:87">
      <c r="AZ567" s="1"/>
      <c r="BF567" s="6"/>
      <c r="BG567" s="6"/>
      <c r="BP567" s="6"/>
      <c r="BQ567" s="6"/>
      <c r="BR567" s="6"/>
      <c r="BS567" s="6"/>
      <c r="CE567" s="1"/>
      <c r="CI567" s="1"/>
    </row>
    <row r="568" spans="52:87">
      <c r="AZ568" s="1"/>
      <c r="BF568" s="6"/>
      <c r="BG568" s="6"/>
      <c r="BP568" s="6"/>
      <c r="BQ568" s="6"/>
      <c r="BR568" s="6"/>
      <c r="BS568" s="6"/>
      <c r="CE568" s="1"/>
      <c r="CI568" s="1"/>
    </row>
    <row r="569" spans="52:87">
      <c r="AZ569" s="1"/>
      <c r="BF569" s="6"/>
      <c r="BG569" s="6"/>
      <c r="BP569" s="6"/>
      <c r="BQ569" s="6"/>
      <c r="BR569" s="6"/>
      <c r="BS569" s="6"/>
      <c r="CE569" s="1"/>
      <c r="CI569" s="1"/>
    </row>
    <row r="570" spans="52:87">
      <c r="AZ570" s="1"/>
      <c r="BF570" s="6"/>
      <c r="BG570" s="6"/>
      <c r="BP570" s="6"/>
      <c r="BQ570" s="6"/>
      <c r="BR570" s="6"/>
      <c r="BS570" s="6"/>
      <c r="CE570" s="1"/>
      <c r="CI570" s="1"/>
    </row>
    <row r="571" spans="52:87">
      <c r="AZ571" s="1"/>
      <c r="BF571" s="6"/>
      <c r="BG571" s="6"/>
      <c r="BP571" s="6"/>
      <c r="BQ571" s="6"/>
      <c r="BR571" s="6"/>
      <c r="BS571" s="6"/>
      <c r="CE571" s="1"/>
      <c r="CI571" s="1"/>
    </row>
    <row r="572" spans="52:87">
      <c r="AZ572" s="1"/>
      <c r="BF572" s="6"/>
      <c r="BG572" s="6"/>
      <c r="BP572" s="6"/>
      <c r="BQ572" s="6"/>
      <c r="BR572" s="6"/>
      <c r="BS572" s="6"/>
      <c r="CE572" s="1"/>
      <c r="CI572" s="1"/>
    </row>
    <row r="573" spans="52:87">
      <c r="AZ573" s="1"/>
      <c r="BF573" s="6"/>
      <c r="BG573" s="6"/>
      <c r="BP573" s="6"/>
      <c r="BQ573" s="6"/>
      <c r="BR573" s="6"/>
      <c r="BS573" s="6"/>
      <c r="CE573" s="1"/>
      <c r="CI573" s="1"/>
    </row>
    <row r="574" spans="52:87">
      <c r="AZ574" s="1"/>
      <c r="BF574" s="6"/>
      <c r="BG574" s="6"/>
      <c r="BP574" s="6"/>
      <c r="BQ574" s="6"/>
      <c r="BR574" s="6"/>
      <c r="BS574" s="6"/>
      <c r="CE574" s="1"/>
      <c r="CI574" s="1"/>
    </row>
    <row r="575" spans="52:87">
      <c r="AZ575" s="1"/>
      <c r="BF575" s="6"/>
      <c r="BG575" s="6"/>
      <c r="BP575" s="6"/>
      <c r="BQ575" s="6"/>
      <c r="BR575" s="6"/>
      <c r="BS575" s="6"/>
      <c r="CE575" s="1"/>
      <c r="CI575" s="1"/>
    </row>
    <row r="576" spans="52:87">
      <c r="AZ576" s="1"/>
      <c r="BF576" s="6"/>
      <c r="BG576" s="6"/>
      <c r="BP576" s="6"/>
      <c r="BQ576" s="6"/>
      <c r="BR576" s="6"/>
      <c r="BS576" s="6"/>
      <c r="CE576" s="1"/>
      <c r="CI576" s="1"/>
    </row>
    <row r="577" spans="52:87">
      <c r="AZ577" s="1"/>
      <c r="BF577" s="6"/>
      <c r="BG577" s="6"/>
      <c r="BP577" s="6"/>
      <c r="BQ577" s="6"/>
      <c r="BR577" s="6"/>
      <c r="BS577" s="6"/>
      <c r="CE577" s="1"/>
      <c r="CI577" s="1"/>
    </row>
    <row r="578" spans="52:87">
      <c r="AZ578" s="1"/>
      <c r="BF578" s="6"/>
      <c r="BG578" s="6"/>
      <c r="BP578" s="6"/>
      <c r="BQ578" s="6"/>
      <c r="BR578" s="6"/>
      <c r="BS578" s="6"/>
      <c r="CE578" s="1"/>
      <c r="CI578" s="1"/>
    </row>
    <row r="579" spans="52:87">
      <c r="AZ579" s="1"/>
      <c r="BF579" s="6"/>
      <c r="BG579" s="6"/>
      <c r="BP579" s="6"/>
      <c r="BQ579" s="6"/>
      <c r="BR579" s="6"/>
      <c r="BS579" s="6"/>
      <c r="CE579" s="1"/>
      <c r="CI579" s="1"/>
    </row>
  </sheetData>
  <mergeCells count="71">
    <mergeCell ref="BG4:BG5"/>
    <mergeCell ref="AV4:AV5"/>
    <mergeCell ref="C1:T1"/>
    <mergeCell ref="C2:T2"/>
    <mergeCell ref="A4:A5"/>
    <mergeCell ref="B4:B5"/>
    <mergeCell ref="C4:I4"/>
    <mergeCell ref="J4:J5"/>
    <mergeCell ref="K4:Q4"/>
    <mergeCell ref="R4:X4"/>
    <mergeCell ref="Y4:AE4"/>
    <mergeCell ref="AF4:AL4"/>
    <mergeCell ref="AM4:AS4"/>
    <mergeCell ref="AT4:AT5"/>
    <mergeCell ref="AU4:AU5"/>
    <mergeCell ref="CE4:CE5"/>
    <mergeCell ref="CF4:CF5"/>
    <mergeCell ref="BU4:BU5"/>
    <mergeCell ref="BJ4:BJ5"/>
    <mergeCell ref="BK4:BK5"/>
    <mergeCell ref="BL4:BL5"/>
    <mergeCell ref="BM4:BM5"/>
    <mergeCell ref="BN4:BN5"/>
    <mergeCell ref="AL6:AL21"/>
    <mergeCell ref="CA4:CA5"/>
    <mergeCell ref="CB4:CB5"/>
    <mergeCell ref="CC4:CC5"/>
    <mergeCell ref="CD4:CD5"/>
    <mergeCell ref="BH4:BH5"/>
    <mergeCell ref="AW4:AW5"/>
    <mergeCell ref="AX4:AX5"/>
    <mergeCell ref="AY4:AY5"/>
    <mergeCell ref="AZ4:AZ5"/>
    <mergeCell ref="BA4:BA5"/>
    <mergeCell ref="BB4:BB5"/>
    <mergeCell ref="BC4:BC5"/>
    <mergeCell ref="BD4:BD5"/>
    <mergeCell ref="BE4:BE5"/>
    <mergeCell ref="BF4:BF5"/>
    <mergeCell ref="CL4:CL5"/>
    <mergeCell ref="C22:T22"/>
    <mergeCell ref="C23:T23"/>
    <mergeCell ref="AS6:AS21"/>
    <mergeCell ref="AU6:AU21"/>
    <mergeCell ref="BG6:BG21"/>
    <mergeCell ref="BI6:BI21"/>
    <mergeCell ref="CF6:CF21"/>
    <mergeCell ref="CG6:CG21"/>
    <mergeCell ref="CG4:CG5"/>
    <mergeCell ref="CH4:CH5"/>
    <mergeCell ref="BW4:BW5"/>
    <mergeCell ref="BX4:BX5"/>
    <mergeCell ref="BY4:BY5"/>
    <mergeCell ref="BZ4:BZ5"/>
    <mergeCell ref="BO4:BO5"/>
    <mergeCell ref="F6:F20"/>
    <mergeCell ref="E6:E20"/>
    <mergeCell ref="D6:D20"/>
    <mergeCell ref="CJ4:CJ5"/>
    <mergeCell ref="CK4:CK5"/>
    <mergeCell ref="BP4:BP5"/>
    <mergeCell ref="BQ4:BQ5"/>
    <mergeCell ref="BR4:BR5"/>
    <mergeCell ref="BS4:BS5"/>
    <mergeCell ref="BT4:BT5"/>
    <mergeCell ref="BV4:BV5"/>
    <mergeCell ref="BI4:BI5"/>
    <mergeCell ref="CI4:CI5"/>
    <mergeCell ref="Q6:Q21"/>
    <mergeCell ref="X6:X21"/>
    <mergeCell ref="AE6:AE21"/>
  </mergeCells>
  <pageMargins left="0.42" right="0.23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20"/>
  <sheetViews>
    <sheetView workbookViewId="0">
      <selection activeCell="R7" sqref="R7"/>
    </sheetView>
  </sheetViews>
  <sheetFormatPr defaultRowHeight="15"/>
  <cols>
    <col min="1" max="1" width="2.7109375" customWidth="1"/>
    <col min="2" max="2" width="15.5703125" customWidth="1"/>
    <col min="3" max="3" width="7.7109375" customWidth="1"/>
    <col min="4" max="4" width="4.85546875" customWidth="1"/>
    <col min="5" max="5" width="5" customWidth="1"/>
    <col min="6" max="6" width="5.140625" customWidth="1"/>
    <col min="7" max="7" width="4.7109375" customWidth="1"/>
    <col min="8" max="8" width="5.42578125" customWidth="1"/>
    <col min="9" max="9" width="4.85546875" customWidth="1"/>
    <col min="10" max="10" width="5.28515625" customWidth="1"/>
    <col min="11" max="13" width="5.42578125" customWidth="1"/>
    <col min="14" max="14" width="5.28515625" customWidth="1"/>
    <col min="15" max="15" width="6.85546875" style="236" customWidth="1"/>
    <col min="16" max="16" width="5.7109375" customWidth="1"/>
    <col min="17" max="17" width="3.28515625" customWidth="1"/>
    <col min="18" max="18" width="6.7109375" customWidth="1"/>
    <col min="19" max="19" width="6" customWidth="1"/>
    <col min="20" max="20" width="2.85546875" customWidth="1"/>
    <col min="21" max="21" width="5.140625" customWidth="1"/>
    <col min="22" max="22" width="5" customWidth="1"/>
    <col min="23" max="23" width="5.28515625" customWidth="1"/>
  </cols>
  <sheetData>
    <row r="1" spans="1:23" ht="29.25" customHeight="1" thickBot="1">
      <c r="A1" s="515" t="s">
        <v>120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  <c r="P1" s="515"/>
      <c r="Q1" s="515"/>
      <c r="R1" s="515"/>
      <c r="S1" s="515"/>
      <c r="T1" s="515"/>
      <c r="U1" s="515"/>
      <c r="V1" s="515"/>
      <c r="W1" s="515"/>
    </row>
    <row r="2" spans="1:23" s="237" customFormat="1" ht="11.25" customHeight="1">
      <c r="A2" s="540" t="s">
        <v>3</v>
      </c>
      <c r="B2" s="542" t="s">
        <v>4</v>
      </c>
      <c r="C2" s="528" t="s">
        <v>102</v>
      </c>
      <c r="D2" s="544" t="s">
        <v>7</v>
      </c>
      <c r="E2" s="545"/>
      <c r="F2" s="546" t="s">
        <v>9</v>
      </c>
      <c r="G2" s="547"/>
      <c r="H2" s="518" t="s">
        <v>10</v>
      </c>
      <c r="I2" s="519"/>
      <c r="J2" s="530" t="s">
        <v>112</v>
      </c>
      <c r="K2" s="524" t="s">
        <v>113</v>
      </c>
      <c r="L2" s="530" t="s">
        <v>108</v>
      </c>
      <c r="M2" s="532" t="s">
        <v>109</v>
      </c>
      <c r="N2" s="538" t="s">
        <v>103</v>
      </c>
      <c r="O2" s="522" t="s">
        <v>107</v>
      </c>
      <c r="P2" s="524" t="s">
        <v>114</v>
      </c>
      <c r="Q2" s="522" t="s">
        <v>116</v>
      </c>
      <c r="R2" s="532" t="s">
        <v>115</v>
      </c>
      <c r="S2" s="526" t="s">
        <v>106</v>
      </c>
      <c r="T2" s="528" t="s">
        <v>104</v>
      </c>
      <c r="U2" s="520" t="s">
        <v>119</v>
      </c>
      <c r="V2" s="520" t="s">
        <v>117</v>
      </c>
      <c r="W2" s="536" t="s">
        <v>118</v>
      </c>
    </row>
    <row r="3" spans="1:23" s="237" customFormat="1" ht="66" customHeight="1" thickBot="1">
      <c r="A3" s="541"/>
      <c r="B3" s="543"/>
      <c r="C3" s="529"/>
      <c r="D3" s="246" t="s">
        <v>110</v>
      </c>
      <c r="E3" s="247" t="s">
        <v>111</v>
      </c>
      <c r="F3" s="248" t="s">
        <v>110</v>
      </c>
      <c r="G3" s="249" t="s">
        <v>111</v>
      </c>
      <c r="H3" s="246" t="s">
        <v>110</v>
      </c>
      <c r="I3" s="280" t="s">
        <v>111</v>
      </c>
      <c r="J3" s="531"/>
      <c r="K3" s="525"/>
      <c r="L3" s="531"/>
      <c r="M3" s="533"/>
      <c r="N3" s="539"/>
      <c r="O3" s="523"/>
      <c r="P3" s="525"/>
      <c r="Q3" s="534"/>
      <c r="R3" s="535"/>
      <c r="S3" s="527"/>
      <c r="T3" s="529"/>
      <c r="U3" s="521"/>
      <c r="V3" s="521"/>
      <c r="W3" s="537"/>
    </row>
    <row r="4" spans="1:23" s="237" customFormat="1" ht="15.75" customHeight="1" thickBot="1">
      <c r="A4" s="238"/>
      <c r="B4" s="239"/>
      <c r="C4" s="241">
        <v>1</v>
      </c>
      <c r="D4" s="245">
        <v>2</v>
      </c>
      <c r="E4" s="240">
        <v>3</v>
      </c>
      <c r="F4" s="243">
        <v>4</v>
      </c>
      <c r="G4" s="244">
        <v>5</v>
      </c>
      <c r="H4" s="245">
        <v>6</v>
      </c>
      <c r="I4" s="240">
        <v>7</v>
      </c>
      <c r="J4" s="243">
        <v>8</v>
      </c>
      <c r="K4" s="244">
        <v>9</v>
      </c>
      <c r="L4" s="243">
        <v>10</v>
      </c>
      <c r="M4" s="244">
        <v>11</v>
      </c>
      <c r="N4" s="282">
        <v>12</v>
      </c>
      <c r="O4" s="283">
        <v>13</v>
      </c>
      <c r="P4" s="288">
        <v>14</v>
      </c>
      <c r="Q4" s="289">
        <v>15</v>
      </c>
      <c r="R4" s="290">
        <v>16</v>
      </c>
      <c r="S4" s="292">
        <v>17</v>
      </c>
      <c r="T4" s="242">
        <v>18</v>
      </c>
      <c r="U4" s="242">
        <v>19</v>
      </c>
      <c r="V4" s="298">
        <v>20</v>
      </c>
      <c r="W4" s="302">
        <v>21</v>
      </c>
    </row>
    <row r="5" spans="1:23" s="257" customFormat="1">
      <c r="A5" s="250">
        <v>1</v>
      </c>
      <c r="B5" s="251" t="s">
        <v>77</v>
      </c>
      <c r="C5" s="252">
        <v>1167.9463163188334</v>
      </c>
      <c r="D5" s="253">
        <v>31</v>
      </c>
      <c r="E5" s="254">
        <v>26</v>
      </c>
      <c r="F5" s="250">
        <v>3</v>
      </c>
      <c r="G5" s="255">
        <v>2</v>
      </c>
      <c r="H5" s="256">
        <v>20</v>
      </c>
      <c r="I5" s="255">
        <v>17</v>
      </c>
      <c r="J5" s="250">
        <f>+H5+F5+D5</f>
        <v>54</v>
      </c>
      <c r="K5" s="254">
        <f>+I5+G5+E5</f>
        <v>45</v>
      </c>
      <c r="L5" s="310">
        <f t="shared" ref="L5:L19" si="0">+J5/C5</f>
        <v>4.6235001768059635E-2</v>
      </c>
      <c r="M5" s="311">
        <f t="shared" ref="M5:M19" si="1">+K5/C5</f>
        <v>3.8529168140049697E-2</v>
      </c>
      <c r="N5" s="312">
        <f>+L5/M5</f>
        <v>1.2</v>
      </c>
      <c r="O5" s="285">
        <v>0</v>
      </c>
      <c r="P5" s="304">
        <v>1</v>
      </c>
      <c r="Q5" s="250">
        <v>0</v>
      </c>
      <c r="R5" s="291">
        <f>IF(Q5=0,1,Q20/Q5/100+1)</f>
        <v>1</v>
      </c>
      <c r="S5" s="320">
        <f>+N5*P5*R5</f>
        <v>1.2</v>
      </c>
      <c r="T5" s="516">
        <f>1844/S20</f>
        <v>72.401863013836632</v>
      </c>
      <c r="U5" s="293">
        <f>+T$5*S5</f>
        <v>86.88223561660395</v>
      </c>
      <c r="V5" s="299">
        <v>78.877322856617724</v>
      </c>
      <c r="W5" s="295">
        <f>+V5+U5</f>
        <v>165.75955847322166</v>
      </c>
    </row>
    <row r="6" spans="1:23" s="257" customFormat="1">
      <c r="A6" s="258">
        <v>2</v>
      </c>
      <c r="B6" s="259" t="s">
        <v>78</v>
      </c>
      <c r="C6" s="260">
        <v>1318.6135906462159</v>
      </c>
      <c r="D6" s="261">
        <v>99</v>
      </c>
      <c r="E6" s="262">
        <v>22</v>
      </c>
      <c r="F6" s="258">
        <v>6</v>
      </c>
      <c r="G6" s="263">
        <v>0</v>
      </c>
      <c r="H6" s="264">
        <v>45</v>
      </c>
      <c r="I6" s="263">
        <v>36</v>
      </c>
      <c r="J6" s="250">
        <f t="shared" ref="J6:K19" si="2">+H6+F6+D6</f>
        <v>150</v>
      </c>
      <c r="K6" s="254">
        <f t="shared" si="2"/>
        <v>58</v>
      </c>
      <c r="L6" s="313">
        <f t="shared" si="0"/>
        <v>0.11375584254860377</v>
      </c>
      <c r="M6" s="314">
        <f t="shared" si="1"/>
        <v>4.3985592452126791E-2</v>
      </c>
      <c r="N6" s="312">
        <f t="shared" ref="N6:N19" si="3">+L6/M6</f>
        <v>2.5862068965517242</v>
      </c>
      <c r="O6" s="286">
        <v>268</v>
      </c>
      <c r="P6" s="305">
        <f>+O$20/O6/100+1</f>
        <v>1.1210074626865671</v>
      </c>
      <c r="Q6" s="258">
        <v>1</v>
      </c>
      <c r="R6" s="291">
        <f>IF(Q6=0,1,Q20/Q6/100+1)</f>
        <v>1.28</v>
      </c>
      <c r="S6" s="321">
        <f t="shared" ref="S6:S19" si="4">+N6*P6*R6</f>
        <v>3.7109212557900157</v>
      </c>
      <c r="T6" s="516"/>
      <c r="U6" s="293">
        <f t="shared" ref="U6:U19" si="5">+T$5*S6</f>
        <v>268.67761241684332</v>
      </c>
      <c r="V6" s="300">
        <v>119.38826330517773</v>
      </c>
      <c r="W6" s="296">
        <f t="shared" ref="W6:W20" si="6">+V6+U6</f>
        <v>388.06587572202102</v>
      </c>
    </row>
    <row r="7" spans="1:23" s="257" customFormat="1">
      <c r="A7" s="258">
        <v>3</v>
      </c>
      <c r="B7" s="259" t="s">
        <v>79</v>
      </c>
      <c r="C7" s="260">
        <v>1356.0054689464421</v>
      </c>
      <c r="D7" s="261">
        <v>66</v>
      </c>
      <c r="E7" s="262">
        <v>64</v>
      </c>
      <c r="F7" s="258">
        <v>10</v>
      </c>
      <c r="G7" s="263">
        <v>1.5</v>
      </c>
      <c r="H7" s="264">
        <v>62</v>
      </c>
      <c r="I7" s="263">
        <v>54</v>
      </c>
      <c r="J7" s="250">
        <f t="shared" si="2"/>
        <v>138</v>
      </c>
      <c r="K7" s="308">
        <f t="shared" si="2"/>
        <v>119.5</v>
      </c>
      <c r="L7" s="313">
        <f t="shared" si="0"/>
        <v>0.1017695010531337</v>
      </c>
      <c r="M7" s="314">
        <f t="shared" si="1"/>
        <v>8.8126488230793318E-2</v>
      </c>
      <c r="N7" s="312">
        <f t="shared" si="3"/>
        <v>1.1548117154811715</v>
      </c>
      <c r="O7" s="286">
        <v>0</v>
      </c>
      <c r="P7" s="305">
        <v>1</v>
      </c>
      <c r="Q7" s="258">
        <v>0</v>
      </c>
      <c r="R7" s="291">
        <f>IF(Q7=0,1,Q20/Q7/100+1)</f>
        <v>1</v>
      </c>
      <c r="S7" s="321">
        <f t="shared" si="4"/>
        <v>1.1548117154811715</v>
      </c>
      <c r="T7" s="516"/>
      <c r="U7" s="293">
        <f t="shared" si="5"/>
        <v>83.610519631041456</v>
      </c>
      <c r="V7" s="300">
        <v>75.975387262433401</v>
      </c>
      <c r="W7" s="296">
        <f t="shared" si="6"/>
        <v>159.58590689347486</v>
      </c>
    </row>
    <row r="8" spans="1:23" s="257" customFormat="1">
      <c r="A8" s="258">
        <v>4</v>
      </c>
      <c r="B8" s="259" t="s">
        <v>80</v>
      </c>
      <c r="C8" s="260">
        <v>1185.5424943424694</v>
      </c>
      <c r="D8" s="261">
        <v>112</v>
      </c>
      <c r="E8" s="262">
        <v>108</v>
      </c>
      <c r="F8" s="258">
        <v>3</v>
      </c>
      <c r="G8" s="263">
        <v>1</v>
      </c>
      <c r="H8" s="264">
        <v>45</v>
      </c>
      <c r="I8" s="263">
        <v>48</v>
      </c>
      <c r="J8" s="250">
        <f t="shared" si="2"/>
        <v>160</v>
      </c>
      <c r="K8" s="254">
        <f t="shared" si="2"/>
        <v>157</v>
      </c>
      <c r="L8" s="313">
        <f t="shared" si="0"/>
        <v>0.13495931252024829</v>
      </c>
      <c r="M8" s="314">
        <f t="shared" si="1"/>
        <v>0.13242882541049361</v>
      </c>
      <c r="N8" s="312">
        <f t="shared" si="3"/>
        <v>1.0191082802547773</v>
      </c>
      <c r="O8" s="286">
        <v>94</v>
      </c>
      <c r="P8" s="305">
        <f t="shared" ref="P8:P19" si="7">+O$20/O8/100+1</f>
        <v>1.345</v>
      </c>
      <c r="Q8" s="258">
        <v>0</v>
      </c>
      <c r="R8" s="291">
        <f>IF(Q8=0,1,Q20/Q8/100+1)</f>
        <v>1</v>
      </c>
      <c r="S8" s="321">
        <f t="shared" si="4"/>
        <v>1.3707006369426755</v>
      </c>
      <c r="T8" s="516"/>
      <c r="U8" s="293">
        <f t="shared" si="5"/>
        <v>99.241279748902215</v>
      </c>
      <c r="V8" s="300">
        <v>112.94806305599123</v>
      </c>
      <c r="W8" s="296">
        <f t="shared" si="6"/>
        <v>212.18934280489344</v>
      </c>
    </row>
    <row r="9" spans="1:23" s="257" customFormat="1">
      <c r="A9" s="258">
        <v>5</v>
      </c>
      <c r="B9" s="259" t="s">
        <v>81</v>
      </c>
      <c r="C9" s="260">
        <v>10307.897850138295</v>
      </c>
      <c r="D9" s="261">
        <v>1391</v>
      </c>
      <c r="E9" s="262">
        <v>1427</v>
      </c>
      <c r="F9" s="258">
        <v>168</v>
      </c>
      <c r="G9" s="263">
        <v>39</v>
      </c>
      <c r="H9" s="264">
        <v>730</v>
      </c>
      <c r="I9" s="263">
        <v>472</v>
      </c>
      <c r="J9" s="250">
        <f t="shared" si="2"/>
        <v>2289</v>
      </c>
      <c r="K9" s="254">
        <f t="shared" si="2"/>
        <v>1938</v>
      </c>
      <c r="L9" s="313">
        <f t="shared" si="0"/>
        <v>0.22206273609602076</v>
      </c>
      <c r="M9" s="314">
        <f t="shared" si="1"/>
        <v>0.18801117630148023</v>
      </c>
      <c r="N9" s="312">
        <f t="shared" si="3"/>
        <v>1.1811145510835912</v>
      </c>
      <c r="O9" s="286">
        <v>0</v>
      </c>
      <c r="P9" s="305">
        <v>1</v>
      </c>
      <c r="Q9" s="258">
        <v>7</v>
      </c>
      <c r="R9" s="291">
        <f>IF(Q9=0,1,Q20/Q9/100+1)</f>
        <v>1.04</v>
      </c>
      <c r="S9" s="321">
        <f t="shared" si="4"/>
        <v>1.2283591331269348</v>
      </c>
      <c r="T9" s="516"/>
      <c r="U9" s="293">
        <f t="shared" si="5"/>
        <v>88.93548968845144</v>
      </c>
      <c r="V9" s="300">
        <v>70.198672298140551</v>
      </c>
      <c r="W9" s="296">
        <f t="shared" si="6"/>
        <v>159.13416198659201</v>
      </c>
    </row>
    <row r="10" spans="1:23" s="257" customFormat="1">
      <c r="A10" s="258">
        <v>6</v>
      </c>
      <c r="B10" s="259" t="s">
        <v>82</v>
      </c>
      <c r="C10" s="260">
        <v>2159.9308524013077</v>
      </c>
      <c r="D10" s="261">
        <v>48</v>
      </c>
      <c r="E10" s="262">
        <v>49</v>
      </c>
      <c r="F10" s="258">
        <v>1</v>
      </c>
      <c r="G10" s="263">
        <v>7</v>
      </c>
      <c r="H10" s="264">
        <v>44</v>
      </c>
      <c r="I10" s="263">
        <v>35</v>
      </c>
      <c r="J10" s="250">
        <f t="shared" si="2"/>
        <v>93</v>
      </c>
      <c r="K10" s="254">
        <f t="shared" si="2"/>
        <v>91</v>
      </c>
      <c r="L10" s="313">
        <f t="shared" si="0"/>
        <v>4.3056933927587103E-2</v>
      </c>
      <c r="M10" s="314">
        <f t="shared" si="1"/>
        <v>4.2130978359251899E-2</v>
      </c>
      <c r="N10" s="312">
        <f t="shared" si="3"/>
        <v>1.0219780219780219</v>
      </c>
      <c r="O10" s="286">
        <v>615</v>
      </c>
      <c r="P10" s="305">
        <f t="shared" si="7"/>
        <v>1.0527317073170732</v>
      </c>
      <c r="Q10" s="258">
        <v>1</v>
      </c>
      <c r="R10" s="291">
        <f>IF(Q10=0,1,Q20/Q10/100+1)</f>
        <v>1.28</v>
      </c>
      <c r="S10" s="321">
        <f t="shared" si="4"/>
        <v>1.3771118949343337</v>
      </c>
      <c r="T10" s="516"/>
      <c r="U10" s="293">
        <f t="shared" si="5"/>
        <v>99.705466771760612</v>
      </c>
      <c r="V10" s="300">
        <v>69.737981351158879</v>
      </c>
      <c r="W10" s="296">
        <f t="shared" si="6"/>
        <v>169.44344812291951</v>
      </c>
    </row>
    <row r="11" spans="1:23" s="257" customFormat="1">
      <c r="A11" s="258">
        <v>7</v>
      </c>
      <c r="B11" s="259" t="s">
        <v>83</v>
      </c>
      <c r="C11" s="260">
        <v>1408.79400301735</v>
      </c>
      <c r="D11" s="261">
        <v>33</v>
      </c>
      <c r="E11" s="262">
        <v>29</v>
      </c>
      <c r="F11" s="258">
        <v>2</v>
      </c>
      <c r="G11" s="263">
        <v>1</v>
      </c>
      <c r="H11" s="264">
        <v>19</v>
      </c>
      <c r="I11" s="263">
        <v>13</v>
      </c>
      <c r="J11" s="250">
        <f t="shared" si="2"/>
        <v>54</v>
      </c>
      <c r="K11" s="254">
        <f t="shared" si="2"/>
        <v>43</v>
      </c>
      <c r="L11" s="313">
        <f t="shared" si="0"/>
        <v>3.8330657203496744E-2</v>
      </c>
      <c r="M11" s="314">
        <f t="shared" si="1"/>
        <v>3.0522560365747409E-2</v>
      </c>
      <c r="N11" s="312">
        <f t="shared" si="3"/>
        <v>1.2558139534883721</v>
      </c>
      <c r="O11" s="286">
        <v>280</v>
      </c>
      <c r="P11" s="305">
        <f t="shared" si="7"/>
        <v>1.1158214285714285</v>
      </c>
      <c r="Q11" s="258">
        <v>3</v>
      </c>
      <c r="R11" s="291">
        <f>IF(Q11=0,1,Q20/Q11/100+1)</f>
        <v>1.0933333333333333</v>
      </c>
      <c r="S11" s="321">
        <f t="shared" si="4"/>
        <v>1.5320487707641195</v>
      </c>
      <c r="T11" s="516"/>
      <c r="U11" s="293">
        <f t="shared" si="5"/>
        <v>110.92318523138059</v>
      </c>
      <c r="V11" s="300">
        <v>78.267318837670331</v>
      </c>
      <c r="W11" s="296">
        <f t="shared" si="6"/>
        <v>189.19050406905092</v>
      </c>
    </row>
    <row r="12" spans="1:23" s="257" customFormat="1">
      <c r="A12" s="258">
        <v>8</v>
      </c>
      <c r="B12" s="259" t="s">
        <v>84</v>
      </c>
      <c r="C12" s="260">
        <v>774.23183303997996</v>
      </c>
      <c r="D12" s="261">
        <v>15</v>
      </c>
      <c r="E12" s="262">
        <v>20</v>
      </c>
      <c r="F12" s="258">
        <v>0.1</v>
      </c>
      <c r="G12" s="263">
        <v>1</v>
      </c>
      <c r="H12" s="264">
        <v>35</v>
      </c>
      <c r="I12" s="263">
        <v>30</v>
      </c>
      <c r="J12" s="250">
        <f t="shared" si="2"/>
        <v>50.1</v>
      </c>
      <c r="K12" s="254">
        <f t="shared" si="2"/>
        <v>51</v>
      </c>
      <c r="L12" s="313">
        <f t="shared" si="0"/>
        <v>6.4709300059757335E-2</v>
      </c>
      <c r="M12" s="314">
        <f t="shared" si="1"/>
        <v>6.5871742575800876E-2</v>
      </c>
      <c r="N12" s="312">
        <f t="shared" si="3"/>
        <v>0.98235294117647065</v>
      </c>
      <c r="O12" s="286">
        <v>215</v>
      </c>
      <c r="P12" s="305">
        <f t="shared" si="7"/>
        <v>1.1508372093023256</v>
      </c>
      <c r="Q12" s="258">
        <v>0</v>
      </c>
      <c r="R12" s="291">
        <f>IF(Q12=0,1,Q20/Q12/100+1)</f>
        <v>1</v>
      </c>
      <c r="S12" s="321">
        <f t="shared" si="4"/>
        <v>1.130528317373461</v>
      </c>
      <c r="T12" s="516"/>
      <c r="U12" s="293">
        <f t="shared" si="5"/>
        <v>81.852356367736547</v>
      </c>
      <c r="V12" s="300">
        <v>98.852088093258629</v>
      </c>
      <c r="W12" s="296">
        <f t="shared" si="6"/>
        <v>180.70444446099518</v>
      </c>
    </row>
    <row r="13" spans="1:23" s="257" customFormat="1">
      <c r="A13" s="258">
        <v>9</v>
      </c>
      <c r="B13" s="259" t="s">
        <v>85</v>
      </c>
      <c r="C13" s="260">
        <v>1202.0389112396279</v>
      </c>
      <c r="D13" s="261">
        <v>18</v>
      </c>
      <c r="E13" s="262">
        <v>11</v>
      </c>
      <c r="F13" s="258">
        <v>6</v>
      </c>
      <c r="G13" s="263">
        <v>2.5</v>
      </c>
      <c r="H13" s="264">
        <v>7</v>
      </c>
      <c r="I13" s="263">
        <v>4</v>
      </c>
      <c r="J13" s="250">
        <f t="shared" si="2"/>
        <v>31</v>
      </c>
      <c r="K13" s="254">
        <f t="shared" si="2"/>
        <v>17.5</v>
      </c>
      <c r="L13" s="313">
        <f t="shared" si="0"/>
        <v>2.5789514557420276E-2</v>
      </c>
      <c r="M13" s="314">
        <f t="shared" si="1"/>
        <v>1.4558596927575962E-2</v>
      </c>
      <c r="N13" s="312">
        <f t="shared" si="3"/>
        <v>1.7714285714285714</v>
      </c>
      <c r="O13" s="286">
        <v>0</v>
      </c>
      <c r="P13" s="305">
        <v>1</v>
      </c>
      <c r="Q13" s="258">
        <v>0</v>
      </c>
      <c r="R13" s="291">
        <f>IF(Q13=0,1,Q20/Q13/100+1)</f>
        <v>1</v>
      </c>
      <c r="S13" s="321">
        <f t="shared" si="4"/>
        <v>1.7714285714285714</v>
      </c>
      <c r="T13" s="516"/>
      <c r="U13" s="293">
        <f t="shared" si="5"/>
        <v>128.25472876736774</v>
      </c>
      <c r="V13" s="300">
        <v>56.868481834827378</v>
      </c>
      <c r="W13" s="296">
        <f t="shared" si="6"/>
        <v>185.12321060219512</v>
      </c>
    </row>
    <row r="14" spans="1:23" s="257" customFormat="1">
      <c r="A14" s="258">
        <v>10</v>
      </c>
      <c r="B14" s="259" t="s">
        <v>86</v>
      </c>
      <c r="C14" s="260">
        <v>2338.0921548906213</v>
      </c>
      <c r="D14" s="261">
        <v>38</v>
      </c>
      <c r="E14" s="262">
        <v>38</v>
      </c>
      <c r="F14" s="258">
        <v>5</v>
      </c>
      <c r="G14" s="263">
        <v>2</v>
      </c>
      <c r="H14" s="264">
        <v>30</v>
      </c>
      <c r="I14" s="263">
        <v>13</v>
      </c>
      <c r="J14" s="250">
        <f t="shared" si="2"/>
        <v>73</v>
      </c>
      <c r="K14" s="254">
        <f t="shared" si="2"/>
        <v>53</v>
      </c>
      <c r="L14" s="313">
        <f t="shared" si="0"/>
        <v>3.1222037098625408E-2</v>
      </c>
      <c r="M14" s="314">
        <f t="shared" si="1"/>
        <v>2.2668054331878722E-2</v>
      </c>
      <c r="N14" s="312">
        <f t="shared" si="3"/>
        <v>1.3773584905660377</v>
      </c>
      <c r="O14" s="286">
        <v>343</v>
      </c>
      <c r="P14" s="305">
        <f t="shared" si="7"/>
        <v>1.0945481049562682</v>
      </c>
      <c r="Q14" s="258">
        <v>3</v>
      </c>
      <c r="R14" s="291">
        <f>IF(Q14=0,1,Q20/Q14/100+1)</f>
        <v>1.0933333333333333</v>
      </c>
      <c r="S14" s="321">
        <f t="shared" si="4"/>
        <v>1.6482930707593009</v>
      </c>
      <c r="T14" s="516"/>
      <c r="U14" s="293">
        <f t="shared" si="5"/>
        <v>119.33948911577103</v>
      </c>
      <c r="V14" s="300">
        <v>81.157144997498563</v>
      </c>
      <c r="W14" s="296">
        <f t="shared" si="6"/>
        <v>200.49663411326958</v>
      </c>
    </row>
    <row r="15" spans="1:23" s="257" customFormat="1">
      <c r="A15" s="258">
        <v>11</v>
      </c>
      <c r="B15" s="259" t="s">
        <v>101</v>
      </c>
      <c r="C15" s="260">
        <v>4563.0710963037463</v>
      </c>
      <c r="D15" s="261">
        <v>771</v>
      </c>
      <c r="E15" s="262">
        <v>742</v>
      </c>
      <c r="F15" s="258">
        <v>34</v>
      </c>
      <c r="G15" s="263">
        <v>11</v>
      </c>
      <c r="H15" s="264">
        <v>219</v>
      </c>
      <c r="I15" s="263">
        <v>186</v>
      </c>
      <c r="J15" s="250">
        <f t="shared" si="2"/>
        <v>1024</v>
      </c>
      <c r="K15" s="254">
        <f t="shared" si="2"/>
        <v>939</v>
      </c>
      <c r="L15" s="313">
        <f t="shared" si="0"/>
        <v>0.22441026632906888</v>
      </c>
      <c r="M15" s="314">
        <f t="shared" si="1"/>
        <v>0.20578246101855047</v>
      </c>
      <c r="N15" s="312">
        <f t="shared" si="3"/>
        <v>1.0905218317358893</v>
      </c>
      <c r="O15" s="286">
        <v>441</v>
      </c>
      <c r="P15" s="305">
        <f t="shared" si="7"/>
        <v>1.0735374149659864</v>
      </c>
      <c r="Q15" s="258">
        <v>4</v>
      </c>
      <c r="R15" s="291">
        <f>IF(Q15=0,1,Q20/Q15/100+1)</f>
        <v>1.07</v>
      </c>
      <c r="S15" s="321">
        <f t="shared" si="4"/>
        <v>1.2526661073801193</v>
      </c>
      <c r="T15" s="516"/>
      <c r="U15" s="293">
        <f t="shared" si="5"/>
        <v>90.695359908611366</v>
      </c>
      <c r="V15" s="300">
        <v>79.928695164044797</v>
      </c>
      <c r="W15" s="296">
        <f t="shared" si="6"/>
        <v>170.62405507265618</v>
      </c>
    </row>
    <row r="16" spans="1:23" s="257" customFormat="1">
      <c r="A16" s="258">
        <v>12</v>
      </c>
      <c r="B16" s="259" t="s">
        <v>88</v>
      </c>
      <c r="C16" s="260">
        <v>1650.7414508423435</v>
      </c>
      <c r="D16" s="261">
        <v>83</v>
      </c>
      <c r="E16" s="262">
        <v>25</v>
      </c>
      <c r="F16" s="258">
        <v>8</v>
      </c>
      <c r="G16" s="263">
        <v>5</v>
      </c>
      <c r="H16" s="264">
        <v>17</v>
      </c>
      <c r="I16" s="263">
        <v>7</v>
      </c>
      <c r="J16" s="250">
        <f t="shared" si="2"/>
        <v>108</v>
      </c>
      <c r="K16" s="254">
        <f t="shared" si="2"/>
        <v>37</v>
      </c>
      <c r="L16" s="313">
        <f t="shared" si="0"/>
        <v>6.5425145739745949E-2</v>
      </c>
      <c r="M16" s="314">
        <f t="shared" si="1"/>
        <v>2.2414170299727778E-2</v>
      </c>
      <c r="N16" s="312">
        <f t="shared" si="3"/>
        <v>2.9189189189189189</v>
      </c>
      <c r="O16" s="286">
        <v>265</v>
      </c>
      <c r="P16" s="305">
        <f t="shared" si="7"/>
        <v>1.1223773584905661</v>
      </c>
      <c r="Q16" s="258">
        <v>5</v>
      </c>
      <c r="R16" s="291">
        <f>IF(Q16=0,1,Q20/Q16/100+1)</f>
        <v>1.056</v>
      </c>
      <c r="S16" s="321">
        <f t="shared" si="4"/>
        <v>3.4595917021927587</v>
      </c>
      <c r="T16" s="516"/>
      <c r="U16" s="293">
        <f t="shared" si="5"/>
        <v>250.480884505966</v>
      </c>
      <c r="V16" s="300">
        <v>72.184283405395604</v>
      </c>
      <c r="W16" s="296">
        <f t="shared" si="6"/>
        <v>322.66516791136161</v>
      </c>
    </row>
    <row r="17" spans="1:23" s="257" customFormat="1">
      <c r="A17" s="258">
        <v>13</v>
      </c>
      <c r="B17" s="259" t="s">
        <v>89</v>
      </c>
      <c r="C17" s="260">
        <v>1137.1530047774704</v>
      </c>
      <c r="D17" s="261">
        <v>31</v>
      </c>
      <c r="E17" s="262">
        <v>34</v>
      </c>
      <c r="F17" s="258">
        <v>9</v>
      </c>
      <c r="G17" s="263">
        <v>5</v>
      </c>
      <c r="H17" s="264">
        <v>113</v>
      </c>
      <c r="I17" s="263">
        <v>87</v>
      </c>
      <c r="J17" s="250">
        <f t="shared" si="2"/>
        <v>153</v>
      </c>
      <c r="K17" s="254">
        <f t="shared" si="2"/>
        <v>126</v>
      </c>
      <c r="L17" s="313">
        <f t="shared" si="0"/>
        <v>0.13454653802716776</v>
      </c>
      <c r="M17" s="314">
        <f t="shared" si="1"/>
        <v>0.11080303131649109</v>
      </c>
      <c r="N17" s="312">
        <f t="shared" si="3"/>
        <v>1.2142857142857144</v>
      </c>
      <c r="O17" s="286">
        <v>346</v>
      </c>
      <c r="P17" s="305">
        <f t="shared" si="7"/>
        <v>1.093728323699422</v>
      </c>
      <c r="Q17" s="258">
        <v>4</v>
      </c>
      <c r="R17" s="291">
        <f>IF(Q17=0,1,Q20/Q17/100+1)</f>
        <v>1.07</v>
      </c>
      <c r="S17" s="321">
        <f t="shared" si="4"/>
        <v>1.4210655862923207</v>
      </c>
      <c r="T17" s="516"/>
      <c r="U17" s="293">
        <f t="shared" si="5"/>
        <v>102.88779591241405</v>
      </c>
      <c r="V17" s="300">
        <v>89.402505050603054</v>
      </c>
      <c r="W17" s="296">
        <f t="shared" si="6"/>
        <v>192.2903009630171</v>
      </c>
    </row>
    <row r="18" spans="1:23" s="257" customFormat="1">
      <c r="A18" s="258">
        <v>14</v>
      </c>
      <c r="B18" s="259" t="s">
        <v>90</v>
      </c>
      <c r="C18" s="260">
        <v>1100.8608876037215</v>
      </c>
      <c r="D18" s="261">
        <v>44</v>
      </c>
      <c r="E18" s="262">
        <v>35</v>
      </c>
      <c r="F18" s="258">
        <v>2</v>
      </c>
      <c r="G18" s="263">
        <v>0</v>
      </c>
      <c r="H18" s="264">
        <v>19</v>
      </c>
      <c r="I18" s="263">
        <v>13</v>
      </c>
      <c r="J18" s="250">
        <f t="shared" si="2"/>
        <v>65</v>
      </c>
      <c r="K18" s="254">
        <f t="shared" si="2"/>
        <v>48</v>
      </c>
      <c r="L18" s="313">
        <f t="shared" si="0"/>
        <v>5.9044699227608625E-2</v>
      </c>
      <c r="M18" s="314">
        <f t="shared" si="1"/>
        <v>4.3602239429618675E-2</v>
      </c>
      <c r="N18" s="312">
        <f t="shared" si="3"/>
        <v>1.3541666666666667</v>
      </c>
      <c r="O18" s="286">
        <v>269</v>
      </c>
      <c r="P18" s="305">
        <f t="shared" si="7"/>
        <v>1.1205576208178438</v>
      </c>
      <c r="Q18" s="258">
        <v>0</v>
      </c>
      <c r="R18" s="291">
        <f>IF(Q18=0,1,Q20/Q18/100+1)</f>
        <v>1</v>
      </c>
      <c r="S18" s="321">
        <f t="shared" si="4"/>
        <v>1.5174217781908304</v>
      </c>
      <c r="T18" s="516"/>
      <c r="U18" s="293">
        <f t="shared" si="5"/>
        <v>109.86416371878489</v>
      </c>
      <c r="V18" s="300">
        <v>82.986639889891819</v>
      </c>
      <c r="W18" s="296">
        <f t="shared" si="6"/>
        <v>192.8508036086767</v>
      </c>
    </row>
    <row r="19" spans="1:23" s="257" customFormat="1" ht="15.75" thickBot="1">
      <c r="A19" s="265">
        <v>15</v>
      </c>
      <c r="B19" s="266" t="s">
        <v>91</v>
      </c>
      <c r="C19" s="267">
        <v>552.0800854915766</v>
      </c>
      <c r="D19" s="268">
        <v>11</v>
      </c>
      <c r="E19" s="269">
        <v>8</v>
      </c>
      <c r="F19" s="270">
        <v>1</v>
      </c>
      <c r="G19" s="271">
        <v>0</v>
      </c>
      <c r="H19" s="272">
        <v>3.6</v>
      </c>
      <c r="I19" s="273">
        <v>4</v>
      </c>
      <c r="J19" s="250">
        <f t="shared" si="2"/>
        <v>15.6</v>
      </c>
      <c r="K19" s="254">
        <f t="shared" si="2"/>
        <v>12</v>
      </c>
      <c r="L19" s="315">
        <f t="shared" si="0"/>
        <v>2.8256770004861945E-2</v>
      </c>
      <c r="M19" s="316">
        <f t="shared" si="1"/>
        <v>2.1735976926816881E-2</v>
      </c>
      <c r="N19" s="312">
        <f t="shared" si="3"/>
        <v>1.3</v>
      </c>
      <c r="O19" s="287">
        <v>107</v>
      </c>
      <c r="P19" s="306">
        <f t="shared" si="7"/>
        <v>1.3030841121495327</v>
      </c>
      <c r="Q19" s="270">
        <v>0</v>
      </c>
      <c r="R19" s="291">
        <f>IF(Q19=0,1,Q20/Q19/100+1)</f>
        <v>1</v>
      </c>
      <c r="S19" s="322">
        <f t="shared" si="4"/>
        <v>1.6940093457943926</v>
      </c>
      <c r="T19" s="517"/>
      <c r="U19" s="293">
        <f t="shared" si="5"/>
        <v>122.64943259836463</v>
      </c>
      <c r="V19" s="301">
        <v>79.227152597290427</v>
      </c>
      <c r="W19" s="297">
        <f t="shared" si="6"/>
        <v>201.87658519565505</v>
      </c>
    </row>
    <row r="20" spans="1:23" s="237" customFormat="1" ht="15.75" thickBot="1">
      <c r="A20" s="274"/>
      <c r="B20" s="275" t="s">
        <v>105</v>
      </c>
      <c r="C20" s="276">
        <f t="shared" ref="C20:S20" si="8">SUM(C5:C19)</f>
        <v>32222.999999999993</v>
      </c>
      <c r="D20" s="274">
        <f t="shared" si="8"/>
        <v>2791</v>
      </c>
      <c r="E20" s="275">
        <f t="shared" si="8"/>
        <v>2638</v>
      </c>
      <c r="F20" s="277">
        <f t="shared" si="8"/>
        <v>258.10000000000002</v>
      </c>
      <c r="G20" s="278">
        <f t="shared" si="8"/>
        <v>78</v>
      </c>
      <c r="H20" s="274">
        <f t="shared" si="8"/>
        <v>1408.6</v>
      </c>
      <c r="I20" s="275">
        <f t="shared" si="8"/>
        <v>1019</v>
      </c>
      <c r="J20" s="274">
        <f t="shared" si="8"/>
        <v>4457.7000000000007</v>
      </c>
      <c r="K20" s="279">
        <f t="shared" si="8"/>
        <v>3735</v>
      </c>
      <c r="L20" s="317">
        <f t="shared" si="8"/>
        <v>1.3335742561614059</v>
      </c>
      <c r="M20" s="318">
        <f t="shared" si="8"/>
        <v>1.0711710620864034</v>
      </c>
      <c r="N20" s="319">
        <f t="shared" si="8"/>
        <v>21.428066553615931</v>
      </c>
      <c r="O20" s="284">
        <f>SUM(O5:O19)</f>
        <v>3243</v>
      </c>
      <c r="P20" s="307">
        <f>SUM(P5:P19)</f>
        <v>16.593230742957012</v>
      </c>
      <c r="Q20" s="309">
        <f t="shared" ref="Q20:R20" si="9">SUM(Q5:Q19)</f>
        <v>28</v>
      </c>
      <c r="R20" s="303">
        <f t="shared" si="9"/>
        <v>15.982666666666667</v>
      </c>
      <c r="S20" s="323">
        <f t="shared" si="8"/>
        <v>25.468957886451008</v>
      </c>
      <c r="T20" s="276"/>
      <c r="U20" s="294">
        <f>SUM(U5:U19)</f>
        <v>1844</v>
      </c>
      <c r="V20" s="281">
        <v>1246</v>
      </c>
      <c r="W20" s="281">
        <f t="shared" si="6"/>
        <v>3090</v>
      </c>
    </row>
  </sheetData>
  <mergeCells count="22">
    <mergeCell ref="N2:N3"/>
    <mergeCell ref="A2:A3"/>
    <mergeCell ref="B2:B3"/>
    <mergeCell ref="C2:C3"/>
    <mergeCell ref="D2:E2"/>
    <mergeCell ref="F2:G2"/>
    <mergeCell ref="A1:W1"/>
    <mergeCell ref="T5:T19"/>
    <mergeCell ref="H2:I2"/>
    <mergeCell ref="U2:U3"/>
    <mergeCell ref="O2:O3"/>
    <mergeCell ref="P2:P3"/>
    <mergeCell ref="S2:S3"/>
    <mergeCell ref="T2:T3"/>
    <mergeCell ref="J2:J3"/>
    <mergeCell ref="K2:K3"/>
    <mergeCell ref="L2:L3"/>
    <mergeCell ref="M2:M3"/>
    <mergeCell ref="Q2:Q3"/>
    <mergeCell ref="R2:R3"/>
    <mergeCell ref="V2:V3"/>
    <mergeCell ref="W2:W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70"/>
  <sheetViews>
    <sheetView tabSelected="1" workbookViewId="0">
      <selection activeCell="A8" sqref="A8:Y8"/>
    </sheetView>
  </sheetViews>
  <sheetFormatPr defaultRowHeight="12.75"/>
  <cols>
    <col min="1" max="1" width="3.140625" style="352" customWidth="1"/>
    <col min="2" max="2" width="62.7109375" style="352" customWidth="1"/>
    <col min="3" max="3" width="0.140625" style="352" customWidth="1"/>
    <col min="4" max="4" width="5.42578125" style="352" hidden="1" customWidth="1"/>
    <col min="5" max="6" width="4.42578125" style="352" hidden="1" customWidth="1"/>
    <col min="7" max="7" width="4.140625" style="352" hidden="1" customWidth="1"/>
    <col min="8" max="9" width="4.28515625" style="352" hidden="1" customWidth="1"/>
    <col min="10" max="11" width="5.42578125" style="352" hidden="1" customWidth="1"/>
    <col min="12" max="12" width="5.7109375" style="352" hidden="1" customWidth="1"/>
    <col min="13" max="13" width="5.28515625" style="352" hidden="1" customWidth="1"/>
    <col min="14" max="14" width="5.42578125" style="352" hidden="1" customWidth="1"/>
    <col min="15" max="15" width="7.28515625" style="352" hidden="1" customWidth="1"/>
    <col min="16" max="16" width="5.5703125" style="352" hidden="1" customWidth="1"/>
    <col min="17" max="17" width="4.85546875" style="352" hidden="1" customWidth="1"/>
    <col min="18" max="18" width="4.7109375" style="352" hidden="1" customWidth="1"/>
    <col min="19" max="19" width="4.85546875" style="352" hidden="1" customWidth="1"/>
    <col min="20" max="20" width="5.28515625" style="352" hidden="1" customWidth="1"/>
    <col min="21" max="21" width="4.140625" style="352" hidden="1" customWidth="1"/>
    <col min="22" max="22" width="3.5703125" style="352" hidden="1" customWidth="1"/>
    <col min="23" max="23" width="16" style="352" customWidth="1"/>
    <col min="24" max="24" width="0.28515625" style="352" customWidth="1"/>
    <col min="25" max="25" width="6.42578125" style="402" hidden="1" customWidth="1"/>
    <col min="26" max="16384" width="9.140625" style="352"/>
  </cols>
  <sheetData>
    <row r="1" spans="1:28" ht="15" customHeight="1">
      <c r="W1" s="548" t="s">
        <v>150</v>
      </c>
    </row>
    <row r="2" spans="1:28" ht="15" customHeight="1">
      <c r="W2" s="548"/>
    </row>
    <row r="3" spans="1:28" ht="15" customHeight="1">
      <c r="W3" s="548"/>
    </row>
    <row r="4" spans="1:28" ht="12.75" customHeight="1">
      <c r="W4" s="548"/>
    </row>
    <row r="5" spans="1:28">
      <c r="W5" s="548"/>
    </row>
    <row r="6" spans="1:28">
      <c r="W6" s="548"/>
    </row>
    <row r="7" spans="1:28" ht="15" customHeight="1"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426"/>
      <c r="U7" s="426"/>
      <c r="V7" s="426"/>
      <c r="W7" s="548"/>
      <c r="X7" s="426"/>
      <c r="Y7" s="426"/>
      <c r="Z7" s="426"/>
      <c r="AA7" s="426"/>
      <c r="AB7" s="426"/>
    </row>
    <row r="8" spans="1:28" s="358" customFormat="1" ht="84" customHeight="1" thickBot="1">
      <c r="A8" s="584" t="s">
        <v>148</v>
      </c>
      <c r="B8" s="584"/>
      <c r="C8" s="584"/>
      <c r="D8" s="584"/>
      <c r="E8" s="584"/>
      <c r="F8" s="584"/>
      <c r="G8" s="584"/>
      <c r="H8" s="584"/>
      <c r="I8" s="584"/>
      <c r="J8" s="584"/>
      <c r="K8" s="584"/>
      <c r="L8" s="584"/>
      <c r="M8" s="584"/>
      <c r="N8" s="584"/>
      <c r="O8" s="584"/>
      <c r="P8" s="584"/>
      <c r="Q8" s="584"/>
      <c r="R8" s="584"/>
      <c r="S8" s="584"/>
      <c r="T8" s="584"/>
      <c r="U8" s="584"/>
      <c r="V8" s="584"/>
      <c r="W8" s="584"/>
      <c r="X8" s="584"/>
      <c r="Y8" s="584"/>
    </row>
    <row r="9" spans="1:28" s="357" customFormat="1" ht="2.25" customHeight="1" thickBot="1">
      <c r="A9" s="558" t="s">
        <v>135</v>
      </c>
      <c r="B9" s="559"/>
      <c r="C9" s="558" t="s">
        <v>138</v>
      </c>
      <c r="D9" s="563"/>
      <c r="E9" s="563"/>
      <c r="F9" s="563"/>
      <c r="G9" s="563"/>
      <c r="H9" s="563"/>
      <c r="I9" s="563"/>
      <c r="J9" s="563"/>
      <c r="K9" s="563"/>
      <c r="L9" s="563"/>
      <c r="M9" s="563"/>
      <c r="N9" s="371">
        <v>0.4</v>
      </c>
      <c r="O9" s="326" t="s">
        <v>139</v>
      </c>
      <c r="P9" s="360">
        <v>0.2</v>
      </c>
      <c r="Q9" s="381" t="s">
        <v>142</v>
      </c>
      <c r="R9" s="360">
        <v>0.2</v>
      </c>
      <c r="S9" s="326" t="s">
        <v>143</v>
      </c>
      <c r="T9" s="371">
        <v>0.2</v>
      </c>
      <c r="U9" s="572" t="s">
        <v>106</v>
      </c>
      <c r="V9" s="575" t="s">
        <v>104</v>
      </c>
      <c r="W9" s="549" t="s">
        <v>149</v>
      </c>
      <c r="X9" s="549" t="s">
        <v>146</v>
      </c>
      <c r="Y9" s="549" t="s">
        <v>147</v>
      </c>
    </row>
    <row r="10" spans="1:28" s="353" customFormat="1" ht="33" customHeight="1">
      <c r="A10" s="551" t="s">
        <v>3</v>
      </c>
      <c r="B10" s="552" t="s">
        <v>4</v>
      </c>
      <c r="C10" s="560" t="s">
        <v>134</v>
      </c>
      <c r="D10" s="553" t="s">
        <v>7</v>
      </c>
      <c r="E10" s="554"/>
      <c r="F10" s="554" t="s">
        <v>9</v>
      </c>
      <c r="G10" s="554"/>
      <c r="H10" s="554" t="s">
        <v>10</v>
      </c>
      <c r="I10" s="554"/>
      <c r="J10" s="554" t="s">
        <v>112</v>
      </c>
      <c r="K10" s="554" t="s">
        <v>113</v>
      </c>
      <c r="L10" s="554" t="s">
        <v>108</v>
      </c>
      <c r="M10" s="554" t="s">
        <v>109</v>
      </c>
      <c r="N10" s="568" t="s">
        <v>103</v>
      </c>
      <c r="O10" s="570" t="s">
        <v>107</v>
      </c>
      <c r="P10" s="556" t="s">
        <v>114</v>
      </c>
      <c r="Q10" s="553" t="s">
        <v>116</v>
      </c>
      <c r="R10" s="556" t="s">
        <v>115</v>
      </c>
      <c r="S10" s="553" t="s">
        <v>140</v>
      </c>
      <c r="T10" s="556" t="s">
        <v>141</v>
      </c>
      <c r="U10" s="573"/>
      <c r="V10" s="576"/>
      <c r="W10" s="550"/>
      <c r="X10" s="550"/>
      <c r="Y10" s="550"/>
    </row>
    <row r="11" spans="1:28" s="353" customFormat="1" ht="49.5" customHeight="1" thickBot="1">
      <c r="A11" s="551"/>
      <c r="B11" s="552"/>
      <c r="C11" s="564"/>
      <c r="D11" s="407" t="s">
        <v>145</v>
      </c>
      <c r="E11" s="406" t="s">
        <v>144</v>
      </c>
      <c r="F11" s="406" t="s">
        <v>145</v>
      </c>
      <c r="G11" s="406" t="s">
        <v>144</v>
      </c>
      <c r="H11" s="406" t="s">
        <v>145</v>
      </c>
      <c r="I11" s="406" t="s">
        <v>144</v>
      </c>
      <c r="J11" s="555"/>
      <c r="K11" s="555"/>
      <c r="L11" s="555"/>
      <c r="M11" s="555"/>
      <c r="N11" s="569"/>
      <c r="O11" s="571"/>
      <c r="P11" s="579"/>
      <c r="Q11" s="580"/>
      <c r="R11" s="579"/>
      <c r="S11" s="565"/>
      <c r="T11" s="557"/>
      <c r="U11" s="574"/>
      <c r="V11" s="577"/>
      <c r="W11" s="578"/>
      <c r="X11" s="578"/>
      <c r="Y11" s="550"/>
    </row>
    <row r="12" spans="1:28" ht="13.5" thickBot="1">
      <c r="A12" s="324">
        <v>1</v>
      </c>
      <c r="B12" s="325">
        <v>2</v>
      </c>
      <c r="C12" s="359">
        <v>3</v>
      </c>
      <c r="D12" s="399">
        <v>4</v>
      </c>
      <c r="E12" s="400">
        <v>5</v>
      </c>
      <c r="F12" s="400">
        <v>6</v>
      </c>
      <c r="G12" s="400">
        <v>7</v>
      </c>
      <c r="H12" s="400">
        <v>8</v>
      </c>
      <c r="I12" s="400">
        <v>9</v>
      </c>
      <c r="J12" s="400">
        <v>10</v>
      </c>
      <c r="K12" s="400">
        <v>11</v>
      </c>
      <c r="L12" s="400">
        <v>12</v>
      </c>
      <c r="M12" s="400">
        <v>13</v>
      </c>
      <c r="N12" s="401">
        <v>14</v>
      </c>
      <c r="O12" s="347">
        <v>15</v>
      </c>
      <c r="P12" s="388">
        <v>16</v>
      </c>
      <c r="Q12" s="324">
        <v>17</v>
      </c>
      <c r="R12" s="368">
        <v>18</v>
      </c>
      <c r="S12" s="324">
        <v>19</v>
      </c>
      <c r="T12" s="325">
        <v>20</v>
      </c>
      <c r="U12" s="394">
        <v>21</v>
      </c>
      <c r="V12" s="395">
        <v>22</v>
      </c>
      <c r="W12" s="409">
        <v>23</v>
      </c>
      <c r="X12" s="341">
        <v>24</v>
      </c>
      <c r="Y12" s="397">
        <v>25</v>
      </c>
    </row>
    <row r="13" spans="1:28">
      <c r="A13" s="327">
        <v>1</v>
      </c>
      <c r="B13" s="328" t="s">
        <v>121</v>
      </c>
      <c r="C13" s="329">
        <v>1167.9463163188334</v>
      </c>
      <c r="D13" s="327">
        <v>94</v>
      </c>
      <c r="E13" s="362">
        <v>114</v>
      </c>
      <c r="F13" s="362">
        <v>0</v>
      </c>
      <c r="G13" s="362">
        <v>4</v>
      </c>
      <c r="H13" s="362">
        <v>42</v>
      </c>
      <c r="I13" s="362">
        <v>57</v>
      </c>
      <c r="J13" s="362">
        <f>+E13+G13+I13</f>
        <v>175</v>
      </c>
      <c r="K13" s="362">
        <f>+H13+F13+D13</f>
        <v>136</v>
      </c>
      <c r="L13" s="363">
        <f t="shared" ref="L13:L27" si="0">+J13/C13</f>
        <v>0.14983565387797104</v>
      </c>
      <c r="M13" s="363">
        <f t="shared" ref="M13:M27" si="1">+K13/C13</f>
        <v>0.11644370815659463</v>
      </c>
      <c r="N13" s="330">
        <f>+L13/M13</f>
        <v>1.286764705882353</v>
      </c>
      <c r="O13" s="354">
        <v>0</v>
      </c>
      <c r="P13" s="389">
        <f>+O13/O28</f>
        <v>0</v>
      </c>
      <c r="Q13" s="393">
        <v>1</v>
      </c>
      <c r="R13" s="346">
        <f>+Q13/Q28</f>
        <v>0.125</v>
      </c>
      <c r="S13" s="374">
        <v>8</v>
      </c>
      <c r="T13" s="378">
        <f>+S13/S28</f>
        <v>1</v>
      </c>
      <c r="U13" s="380">
        <f>+N13*N9+P13*P9+R13*R9+T13*T9</f>
        <v>0.73970588235294121</v>
      </c>
      <c r="V13" s="566">
        <f>1474/U28</f>
        <v>129.48724027870279</v>
      </c>
      <c r="W13" s="410">
        <f>+V13*U13</f>
        <v>95.782473323805149</v>
      </c>
      <c r="X13" s="329">
        <v>78.876999999999995</v>
      </c>
      <c r="Y13" s="396">
        <f>+W13-X13</f>
        <v>16.905473323805154</v>
      </c>
    </row>
    <row r="14" spans="1:28">
      <c r="A14" s="331">
        <v>2</v>
      </c>
      <c r="B14" s="332" t="s">
        <v>122</v>
      </c>
      <c r="C14" s="333">
        <v>1318.6135906462159</v>
      </c>
      <c r="D14" s="331">
        <v>192</v>
      </c>
      <c r="E14" s="361">
        <v>317</v>
      </c>
      <c r="F14" s="361">
        <v>11</v>
      </c>
      <c r="G14" s="361">
        <v>13</v>
      </c>
      <c r="H14" s="361">
        <v>123</v>
      </c>
      <c r="I14" s="361">
        <v>124</v>
      </c>
      <c r="J14" s="362">
        <f t="shared" ref="J14:J27" si="2">+E14+G14+I14</f>
        <v>454</v>
      </c>
      <c r="K14" s="362">
        <f t="shared" ref="K14:K27" si="3">+H14+F14+D14</f>
        <v>326</v>
      </c>
      <c r="L14" s="342">
        <f t="shared" si="0"/>
        <v>0.34430101678044073</v>
      </c>
      <c r="M14" s="342">
        <f t="shared" si="1"/>
        <v>0.24722936447229885</v>
      </c>
      <c r="N14" s="334">
        <f t="shared" ref="N14:N27" si="4">+L14/M14</f>
        <v>1.3926380368098159</v>
      </c>
      <c r="O14" s="355">
        <v>839</v>
      </c>
      <c r="P14" s="373">
        <f>+O14/$O$28</f>
        <v>7.7484299963058736E-2</v>
      </c>
      <c r="Q14" s="331">
        <v>5</v>
      </c>
      <c r="R14" s="372">
        <f>+Q14/$Q$28</f>
        <v>0.625</v>
      </c>
      <c r="S14" s="355">
        <v>5</v>
      </c>
      <c r="T14" s="372">
        <f>+S14/$S$28</f>
        <v>0.625</v>
      </c>
      <c r="U14" s="392">
        <f t="shared" ref="U14:U27" si="5">+N14*$N$9+P14*$P$9+R14*$R$9+T14*$T$9</f>
        <v>0.82255207471653813</v>
      </c>
      <c r="V14" s="566"/>
      <c r="W14" s="411">
        <f>+$V$13*U14</f>
        <v>106.50999814056586</v>
      </c>
      <c r="X14" s="333">
        <v>119.38800000000001</v>
      </c>
      <c r="Y14" s="396">
        <f t="shared" ref="Y14:Y28" si="6">+W14-X14</f>
        <v>-12.87800185943415</v>
      </c>
    </row>
    <row r="15" spans="1:28">
      <c r="A15" s="331">
        <v>3</v>
      </c>
      <c r="B15" s="332" t="s">
        <v>123</v>
      </c>
      <c r="C15" s="333">
        <v>1356.0054689464421</v>
      </c>
      <c r="D15" s="331">
        <v>225</v>
      </c>
      <c r="E15" s="361">
        <v>244</v>
      </c>
      <c r="F15" s="361">
        <v>18.600000000000001</v>
      </c>
      <c r="G15" s="361">
        <v>17</v>
      </c>
      <c r="H15" s="361">
        <v>181.7</v>
      </c>
      <c r="I15" s="361">
        <v>173</v>
      </c>
      <c r="J15" s="362">
        <f t="shared" si="2"/>
        <v>434</v>
      </c>
      <c r="K15" s="362">
        <f t="shared" si="3"/>
        <v>425.29999999999995</v>
      </c>
      <c r="L15" s="342">
        <f t="shared" si="0"/>
        <v>0.32005770621057988</v>
      </c>
      <c r="M15" s="342">
        <f t="shared" si="1"/>
        <v>0.31364180288331711</v>
      </c>
      <c r="N15" s="334">
        <f t="shared" si="4"/>
        <v>1.0204561486009875</v>
      </c>
      <c r="O15" s="355">
        <v>0</v>
      </c>
      <c r="P15" s="373">
        <f t="shared" ref="P15:P27" si="7">+O15/$O$28</f>
        <v>0</v>
      </c>
      <c r="Q15" s="331">
        <v>2</v>
      </c>
      <c r="R15" s="372">
        <f t="shared" ref="R15:R27" si="8">+Q15/$Q$28</f>
        <v>0.25</v>
      </c>
      <c r="S15" s="355">
        <v>7</v>
      </c>
      <c r="T15" s="372">
        <f t="shared" ref="T15:T27" si="9">+S15/$S$28</f>
        <v>0.875</v>
      </c>
      <c r="U15" s="392">
        <f t="shared" si="5"/>
        <v>0.63318245944039508</v>
      </c>
      <c r="V15" s="566"/>
      <c r="W15" s="411">
        <f t="shared" ref="W15:W27" si="10">+$V$13*U15</f>
        <v>81.989049265818423</v>
      </c>
      <c r="X15" s="333">
        <v>75.974999999999994</v>
      </c>
      <c r="Y15" s="396">
        <f t="shared" si="6"/>
        <v>6.0140492658184286</v>
      </c>
    </row>
    <row r="16" spans="1:28">
      <c r="A16" s="331">
        <v>4</v>
      </c>
      <c r="B16" s="332" t="s">
        <v>124</v>
      </c>
      <c r="C16" s="333">
        <v>1185.5424943424694</v>
      </c>
      <c r="D16" s="331">
        <v>402</v>
      </c>
      <c r="E16" s="361">
        <v>436</v>
      </c>
      <c r="F16" s="361">
        <v>4.4000000000000004</v>
      </c>
      <c r="G16" s="361">
        <v>3</v>
      </c>
      <c r="H16" s="361">
        <v>124.1</v>
      </c>
      <c r="I16" s="361">
        <v>311</v>
      </c>
      <c r="J16" s="362">
        <f t="shared" si="2"/>
        <v>750</v>
      </c>
      <c r="K16" s="362">
        <f t="shared" si="3"/>
        <v>530.5</v>
      </c>
      <c r="L16" s="342">
        <f t="shared" si="0"/>
        <v>0.63262177743866377</v>
      </c>
      <c r="M16" s="342">
        <f t="shared" si="1"/>
        <v>0.44747447057494821</v>
      </c>
      <c r="N16" s="334">
        <f t="shared" si="4"/>
        <v>1.413760603204524</v>
      </c>
      <c r="O16" s="355">
        <v>311</v>
      </c>
      <c r="P16" s="373">
        <f t="shared" si="7"/>
        <v>2.8721832286664205E-2</v>
      </c>
      <c r="Q16" s="331">
        <v>5</v>
      </c>
      <c r="R16" s="372">
        <f t="shared" si="8"/>
        <v>0.625</v>
      </c>
      <c r="S16" s="355">
        <v>6</v>
      </c>
      <c r="T16" s="372">
        <f t="shared" si="9"/>
        <v>0.75</v>
      </c>
      <c r="U16" s="392">
        <f t="shared" si="5"/>
        <v>0.84624860773914257</v>
      </c>
      <c r="V16" s="566"/>
      <c r="W16" s="411">
        <f t="shared" si="10"/>
        <v>109.57839680583605</v>
      </c>
      <c r="X16" s="333">
        <v>112.94799999999999</v>
      </c>
      <c r="Y16" s="396">
        <f t="shared" si="6"/>
        <v>-3.3696031941639433</v>
      </c>
    </row>
    <row r="17" spans="1:25">
      <c r="A17" s="331">
        <v>5</v>
      </c>
      <c r="B17" s="332" t="s">
        <v>125</v>
      </c>
      <c r="C17" s="333">
        <v>10307.897850138295</v>
      </c>
      <c r="D17" s="331">
        <v>4452</v>
      </c>
      <c r="E17" s="361">
        <v>4646</v>
      </c>
      <c r="F17" s="361">
        <v>442</v>
      </c>
      <c r="G17" s="361">
        <v>390</v>
      </c>
      <c r="H17" s="361">
        <v>1759.4</v>
      </c>
      <c r="I17" s="361">
        <v>2065</v>
      </c>
      <c r="J17" s="362">
        <f t="shared" si="2"/>
        <v>7101</v>
      </c>
      <c r="K17" s="362">
        <f t="shared" si="3"/>
        <v>6653.4</v>
      </c>
      <c r="L17" s="342">
        <f t="shared" si="0"/>
        <v>0.68888924815108932</v>
      </c>
      <c r="M17" s="342">
        <f t="shared" si="1"/>
        <v>0.64546623343873499</v>
      </c>
      <c r="N17" s="334">
        <f t="shared" si="4"/>
        <v>1.0672738750112725</v>
      </c>
      <c r="O17" s="355">
        <v>0</v>
      </c>
      <c r="P17" s="373">
        <f t="shared" si="7"/>
        <v>0</v>
      </c>
      <c r="Q17" s="331">
        <v>8</v>
      </c>
      <c r="R17" s="372">
        <f t="shared" si="8"/>
        <v>1</v>
      </c>
      <c r="S17" s="355">
        <v>8</v>
      </c>
      <c r="T17" s="372">
        <f t="shared" si="9"/>
        <v>1</v>
      </c>
      <c r="U17" s="392">
        <f t="shared" si="5"/>
        <v>0.82690955000450894</v>
      </c>
      <c r="V17" s="566"/>
      <c r="W17" s="411">
        <f t="shared" si="10"/>
        <v>107.07423559018784</v>
      </c>
      <c r="X17" s="333">
        <v>70.198999999999998</v>
      </c>
      <c r="Y17" s="396">
        <f t="shared" si="6"/>
        <v>36.875235590187842</v>
      </c>
    </row>
    <row r="18" spans="1:25">
      <c r="A18" s="331">
        <v>6</v>
      </c>
      <c r="B18" s="332" t="s">
        <v>136</v>
      </c>
      <c r="C18" s="333">
        <v>2159.9308524013077</v>
      </c>
      <c r="D18" s="331">
        <v>160</v>
      </c>
      <c r="E18" s="361">
        <v>166</v>
      </c>
      <c r="F18" s="361">
        <v>18.399999999999999</v>
      </c>
      <c r="G18" s="361">
        <v>2</v>
      </c>
      <c r="H18" s="361">
        <v>78</v>
      </c>
      <c r="I18" s="361">
        <v>96</v>
      </c>
      <c r="J18" s="362">
        <f t="shared" si="2"/>
        <v>264</v>
      </c>
      <c r="K18" s="362">
        <f t="shared" si="3"/>
        <v>256.39999999999998</v>
      </c>
      <c r="L18" s="342">
        <f t="shared" si="0"/>
        <v>0.12222613502024726</v>
      </c>
      <c r="M18" s="342">
        <f t="shared" si="1"/>
        <v>0.11870750386057347</v>
      </c>
      <c r="N18" s="334">
        <f t="shared" si="4"/>
        <v>1.0296411856474259</v>
      </c>
      <c r="O18" s="355">
        <v>2097</v>
      </c>
      <c r="P18" s="373">
        <f t="shared" si="7"/>
        <v>0.19366457332840784</v>
      </c>
      <c r="Q18" s="331">
        <v>5</v>
      </c>
      <c r="R18" s="372">
        <f t="shared" si="8"/>
        <v>0.625</v>
      </c>
      <c r="S18" s="355">
        <v>8</v>
      </c>
      <c r="T18" s="372">
        <f t="shared" si="9"/>
        <v>1</v>
      </c>
      <c r="U18" s="392">
        <f t="shared" si="5"/>
        <v>0.7755893889246519</v>
      </c>
      <c r="V18" s="566"/>
      <c r="W18" s="411">
        <f t="shared" si="10"/>
        <v>100.42892956129866</v>
      </c>
      <c r="X18" s="333">
        <v>69.738</v>
      </c>
      <c r="Y18" s="396">
        <f t="shared" si="6"/>
        <v>30.69092956129866</v>
      </c>
    </row>
    <row r="19" spans="1:25">
      <c r="A19" s="331">
        <v>7</v>
      </c>
      <c r="B19" s="332" t="s">
        <v>126</v>
      </c>
      <c r="C19" s="333">
        <v>1408.79400301735</v>
      </c>
      <c r="D19" s="331">
        <v>120</v>
      </c>
      <c r="E19" s="361">
        <v>134</v>
      </c>
      <c r="F19" s="361">
        <v>11.8</v>
      </c>
      <c r="G19" s="361">
        <v>4</v>
      </c>
      <c r="H19" s="361">
        <v>124.2</v>
      </c>
      <c r="I19" s="361">
        <v>34</v>
      </c>
      <c r="J19" s="362">
        <f t="shared" si="2"/>
        <v>172</v>
      </c>
      <c r="K19" s="362">
        <f t="shared" si="3"/>
        <v>256</v>
      </c>
      <c r="L19" s="342">
        <f t="shared" si="0"/>
        <v>0.12209024146298963</v>
      </c>
      <c r="M19" s="342">
        <f t="shared" si="1"/>
        <v>0.18171570822398456</v>
      </c>
      <c r="N19" s="334">
        <f t="shared" si="4"/>
        <v>0.67187500000000011</v>
      </c>
      <c r="O19" s="355">
        <v>1015</v>
      </c>
      <c r="P19" s="373">
        <f t="shared" si="7"/>
        <v>9.373845585519025E-2</v>
      </c>
      <c r="Q19" s="331">
        <v>5</v>
      </c>
      <c r="R19" s="372">
        <f t="shared" si="8"/>
        <v>0.625</v>
      </c>
      <c r="S19" s="355">
        <v>5</v>
      </c>
      <c r="T19" s="372">
        <f t="shared" si="9"/>
        <v>0.625</v>
      </c>
      <c r="U19" s="392">
        <f t="shared" si="5"/>
        <v>0.53749769117103807</v>
      </c>
      <c r="V19" s="566"/>
      <c r="W19" s="411">
        <f t="shared" si="10"/>
        <v>69.599092685912197</v>
      </c>
      <c r="X19" s="333">
        <v>78.266999999999996</v>
      </c>
      <c r="Y19" s="396">
        <f t="shared" si="6"/>
        <v>-8.6679073140877989</v>
      </c>
    </row>
    <row r="20" spans="1:25">
      <c r="A20" s="331">
        <v>8</v>
      </c>
      <c r="B20" s="332" t="s">
        <v>127</v>
      </c>
      <c r="C20" s="333">
        <v>774.23183303997996</v>
      </c>
      <c r="D20" s="331">
        <v>80</v>
      </c>
      <c r="E20" s="361">
        <v>50</v>
      </c>
      <c r="F20" s="361">
        <v>5</v>
      </c>
      <c r="G20" s="361">
        <v>6</v>
      </c>
      <c r="H20" s="361">
        <v>83.6</v>
      </c>
      <c r="I20" s="361">
        <v>26</v>
      </c>
      <c r="J20" s="362">
        <f t="shared" si="2"/>
        <v>82</v>
      </c>
      <c r="K20" s="362">
        <f t="shared" si="3"/>
        <v>168.6</v>
      </c>
      <c r="L20" s="342">
        <f t="shared" si="0"/>
        <v>0.10591142923952297</v>
      </c>
      <c r="M20" s="342">
        <f t="shared" si="1"/>
        <v>0.21776423133882405</v>
      </c>
      <c r="N20" s="334">
        <f t="shared" si="4"/>
        <v>0.48635824436536185</v>
      </c>
      <c r="O20" s="355">
        <v>667</v>
      </c>
      <c r="P20" s="373">
        <f t="shared" si="7"/>
        <v>6.1599556704839305E-2</v>
      </c>
      <c r="Q20" s="331">
        <v>0</v>
      </c>
      <c r="R20" s="372">
        <f t="shared" si="8"/>
        <v>0</v>
      </c>
      <c r="S20" s="355">
        <v>6</v>
      </c>
      <c r="T20" s="372">
        <f t="shared" si="9"/>
        <v>0.75</v>
      </c>
      <c r="U20" s="392">
        <f t="shared" si="5"/>
        <v>0.35686320908711266</v>
      </c>
      <c r="V20" s="566"/>
      <c r="W20" s="411">
        <f t="shared" si="10"/>
        <v>46.20923210169191</v>
      </c>
      <c r="X20" s="333">
        <v>98.852000000000004</v>
      </c>
      <c r="Y20" s="396">
        <f t="shared" si="6"/>
        <v>-52.642767898308094</v>
      </c>
    </row>
    <row r="21" spans="1:25">
      <c r="A21" s="331">
        <v>9</v>
      </c>
      <c r="B21" s="332" t="s">
        <v>128</v>
      </c>
      <c r="C21" s="333">
        <v>1202.0389112396279</v>
      </c>
      <c r="D21" s="331">
        <v>50.6</v>
      </c>
      <c r="E21" s="361">
        <v>66</v>
      </c>
      <c r="F21" s="361">
        <v>11.7</v>
      </c>
      <c r="G21" s="361">
        <v>14</v>
      </c>
      <c r="H21" s="361">
        <v>8.4</v>
      </c>
      <c r="I21" s="361">
        <v>16</v>
      </c>
      <c r="J21" s="362">
        <f t="shared" si="2"/>
        <v>96</v>
      </c>
      <c r="K21" s="362">
        <f t="shared" si="3"/>
        <v>70.7</v>
      </c>
      <c r="L21" s="342">
        <f t="shared" si="0"/>
        <v>7.9864303145559562E-2</v>
      </c>
      <c r="M21" s="342">
        <f t="shared" si="1"/>
        <v>5.8816731587406884E-2</v>
      </c>
      <c r="N21" s="334">
        <f t="shared" si="4"/>
        <v>1.3578500707213579</v>
      </c>
      <c r="O21" s="355">
        <v>0</v>
      </c>
      <c r="P21" s="373">
        <f t="shared" si="7"/>
        <v>0</v>
      </c>
      <c r="Q21" s="331">
        <v>2</v>
      </c>
      <c r="R21" s="372">
        <f t="shared" si="8"/>
        <v>0.25</v>
      </c>
      <c r="S21" s="355">
        <v>5</v>
      </c>
      <c r="T21" s="372">
        <f t="shared" si="9"/>
        <v>0.625</v>
      </c>
      <c r="U21" s="392">
        <f t="shared" si="5"/>
        <v>0.71814002828854318</v>
      </c>
      <c r="V21" s="566"/>
      <c r="W21" s="411">
        <f t="shared" si="10"/>
        <v>92.989970396753009</v>
      </c>
      <c r="X21" s="333">
        <v>56.868000000000002</v>
      </c>
      <c r="Y21" s="396">
        <f t="shared" si="6"/>
        <v>36.121970396753007</v>
      </c>
    </row>
    <row r="22" spans="1:25">
      <c r="A22" s="331">
        <v>10</v>
      </c>
      <c r="B22" s="332" t="s">
        <v>129</v>
      </c>
      <c r="C22" s="333">
        <v>2338.0921548906213</v>
      </c>
      <c r="D22" s="331">
        <v>145</v>
      </c>
      <c r="E22" s="361">
        <v>182</v>
      </c>
      <c r="F22" s="361">
        <v>29.4</v>
      </c>
      <c r="G22" s="361">
        <v>17</v>
      </c>
      <c r="H22" s="361">
        <v>31.2</v>
      </c>
      <c r="I22" s="361">
        <v>159</v>
      </c>
      <c r="J22" s="362">
        <f t="shared" si="2"/>
        <v>358</v>
      </c>
      <c r="K22" s="362">
        <f t="shared" si="3"/>
        <v>205.6</v>
      </c>
      <c r="L22" s="342">
        <f t="shared" si="0"/>
        <v>0.15311629152476569</v>
      </c>
      <c r="M22" s="342">
        <f t="shared" si="1"/>
        <v>8.7934942842155944E-2</v>
      </c>
      <c r="N22" s="334">
        <f t="shared" si="4"/>
        <v>1.7412451361867702</v>
      </c>
      <c r="O22" s="355">
        <v>1113</v>
      </c>
      <c r="P22" s="373">
        <f t="shared" si="7"/>
        <v>0.1027890653860362</v>
      </c>
      <c r="Q22" s="331">
        <v>5</v>
      </c>
      <c r="R22" s="372">
        <f t="shared" si="8"/>
        <v>0.625</v>
      </c>
      <c r="S22" s="355">
        <v>7</v>
      </c>
      <c r="T22" s="372">
        <f t="shared" si="9"/>
        <v>0.875</v>
      </c>
      <c r="U22" s="392">
        <f t="shared" si="5"/>
        <v>1.0170558675519155</v>
      </c>
      <c r="V22" s="566"/>
      <c r="W22" s="411">
        <f t="shared" si="10"/>
        <v>131.6957574985594</v>
      </c>
      <c r="X22" s="333">
        <v>81.156999999999996</v>
      </c>
      <c r="Y22" s="396">
        <f t="shared" si="6"/>
        <v>50.538757498559406</v>
      </c>
    </row>
    <row r="23" spans="1:25">
      <c r="A23" s="331">
        <v>11</v>
      </c>
      <c r="B23" s="332" t="s">
        <v>130</v>
      </c>
      <c r="C23" s="333">
        <v>4563.0710963037463</v>
      </c>
      <c r="D23" s="331">
        <v>2296</v>
      </c>
      <c r="E23" s="361">
        <v>2296</v>
      </c>
      <c r="F23" s="361">
        <v>78.8</v>
      </c>
      <c r="G23" s="361">
        <v>79</v>
      </c>
      <c r="H23" s="361">
        <v>565.5</v>
      </c>
      <c r="I23" s="361">
        <v>566</v>
      </c>
      <c r="J23" s="362">
        <f t="shared" si="2"/>
        <v>2941</v>
      </c>
      <c r="K23" s="362">
        <f t="shared" si="3"/>
        <v>2940.3</v>
      </c>
      <c r="L23" s="342">
        <f t="shared" si="0"/>
        <v>0.64452206374393706</v>
      </c>
      <c r="M23" s="342">
        <f t="shared" si="1"/>
        <v>0.6443686582884387</v>
      </c>
      <c r="N23" s="334">
        <f t="shared" si="4"/>
        <v>1.0002380709451415</v>
      </c>
      <c r="O23" s="355">
        <v>1595</v>
      </c>
      <c r="P23" s="373">
        <f t="shared" si="7"/>
        <v>0.14730328777244181</v>
      </c>
      <c r="Q23" s="331">
        <v>6</v>
      </c>
      <c r="R23" s="372">
        <f t="shared" si="8"/>
        <v>0.75</v>
      </c>
      <c r="S23" s="355">
        <v>8</v>
      </c>
      <c r="T23" s="372">
        <f t="shared" si="9"/>
        <v>1</v>
      </c>
      <c r="U23" s="392">
        <f t="shared" si="5"/>
        <v>0.77955588593254488</v>
      </c>
      <c r="V23" s="566"/>
      <c r="W23" s="411">
        <f t="shared" si="10"/>
        <v>100.94254031242446</v>
      </c>
      <c r="X23" s="333">
        <v>79.929000000000002</v>
      </c>
      <c r="Y23" s="396">
        <f t="shared" si="6"/>
        <v>21.013540312424453</v>
      </c>
    </row>
    <row r="24" spans="1:25">
      <c r="A24" s="331">
        <v>12</v>
      </c>
      <c r="B24" s="332" t="s">
        <v>131</v>
      </c>
      <c r="C24" s="333">
        <v>1650.7414508423435</v>
      </c>
      <c r="D24" s="331">
        <v>113.3</v>
      </c>
      <c r="E24" s="361">
        <v>330</v>
      </c>
      <c r="F24" s="361">
        <v>11.9</v>
      </c>
      <c r="G24" s="361">
        <v>15</v>
      </c>
      <c r="H24" s="361">
        <v>19.399999999999999</v>
      </c>
      <c r="I24" s="361">
        <v>40</v>
      </c>
      <c r="J24" s="362">
        <f t="shared" si="2"/>
        <v>385</v>
      </c>
      <c r="K24" s="362">
        <f t="shared" si="3"/>
        <v>144.6</v>
      </c>
      <c r="L24" s="342">
        <f t="shared" si="0"/>
        <v>0.23322852879446473</v>
      </c>
      <c r="M24" s="342">
        <f t="shared" si="1"/>
        <v>8.7597000684882076E-2</v>
      </c>
      <c r="N24" s="334">
        <f t="shared" si="4"/>
        <v>2.662517289073306</v>
      </c>
      <c r="O24" s="355">
        <v>808</v>
      </c>
      <c r="P24" s="373">
        <f t="shared" si="7"/>
        <v>7.462135205024012E-2</v>
      </c>
      <c r="Q24" s="331">
        <v>8</v>
      </c>
      <c r="R24" s="372">
        <f t="shared" si="8"/>
        <v>1</v>
      </c>
      <c r="S24" s="355">
        <v>7</v>
      </c>
      <c r="T24" s="372">
        <f t="shared" si="9"/>
        <v>0.875</v>
      </c>
      <c r="U24" s="392">
        <f t="shared" si="5"/>
        <v>1.4549311860393705</v>
      </c>
      <c r="V24" s="566"/>
      <c r="W24" s="411">
        <f t="shared" si="10"/>
        <v>188.395024075658</v>
      </c>
      <c r="X24" s="333">
        <v>72.183999999999997</v>
      </c>
      <c r="Y24" s="396">
        <f t="shared" si="6"/>
        <v>116.211024075658</v>
      </c>
    </row>
    <row r="25" spans="1:25">
      <c r="A25" s="331">
        <v>13</v>
      </c>
      <c r="B25" s="332" t="s">
        <v>137</v>
      </c>
      <c r="C25" s="333">
        <v>1137.1530047774704</v>
      </c>
      <c r="D25" s="331">
        <v>96</v>
      </c>
      <c r="E25" s="361">
        <v>107</v>
      </c>
      <c r="F25" s="361">
        <v>24.1</v>
      </c>
      <c r="G25" s="361">
        <v>13</v>
      </c>
      <c r="H25" s="361">
        <v>200</v>
      </c>
      <c r="I25" s="361">
        <v>194</v>
      </c>
      <c r="J25" s="362">
        <f t="shared" si="2"/>
        <v>314</v>
      </c>
      <c r="K25" s="362">
        <f t="shared" si="3"/>
        <v>320.10000000000002</v>
      </c>
      <c r="L25" s="342">
        <f t="shared" si="0"/>
        <v>0.27612818915379528</v>
      </c>
      <c r="M25" s="342">
        <f t="shared" si="1"/>
        <v>0.28149246289213337</v>
      </c>
      <c r="N25" s="334">
        <f t="shared" si="4"/>
        <v>0.98094345517025916</v>
      </c>
      <c r="O25" s="355">
        <v>1087</v>
      </c>
      <c r="P25" s="373">
        <f t="shared" si="7"/>
        <v>0.10038788326560769</v>
      </c>
      <c r="Q25" s="331">
        <v>5</v>
      </c>
      <c r="R25" s="372">
        <f t="shared" si="8"/>
        <v>0.625</v>
      </c>
      <c r="S25" s="355">
        <v>8</v>
      </c>
      <c r="T25" s="372">
        <f t="shared" si="9"/>
        <v>1</v>
      </c>
      <c r="U25" s="392">
        <f t="shared" si="5"/>
        <v>0.73745495872122513</v>
      </c>
      <c r="V25" s="566"/>
      <c r="W25" s="411">
        <f t="shared" si="10"/>
        <v>95.491007434656126</v>
      </c>
      <c r="X25" s="333">
        <v>89.403000000000006</v>
      </c>
      <c r="Y25" s="396">
        <f t="shared" si="6"/>
        <v>6.0880074346561202</v>
      </c>
    </row>
    <row r="26" spans="1:25">
      <c r="A26" s="331">
        <v>14</v>
      </c>
      <c r="B26" s="332" t="s">
        <v>132</v>
      </c>
      <c r="C26" s="333">
        <v>1100.8608876037215</v>
      </c>
      <c r="D26" s="331">
        <v>138.5</v>
      </c>
      <c r="E26" s="361">
        <v>169</v>
      </c>
      <c r="F26" s="361">
        <v>2.5</v>
      </c>
      <c r="G26" s="361">
        <v>2</v>
      </c>
      <c r="H26" s="361">
        <v>41</v>
      </c>
      <c r="I26" s="361">
        <v>47</v>
      </c>
      <c r="J26" s="362">
        <f t="shared" si="2"/>
        <v>218</v>
      </c>
      <c r="K26" s="362">
        <f t="shared" si="3"/>
        <v>182</v>
      </c>
      <c r="L26" s="342">
        <f t="shared" si="0"/>
        <v>0.19802683740951815</v>
      </c>
      <c r="M26" s="342">
        <f t="shared" si="1"/>
        <v>0.16532515783730414</v>
      </c>
      <c r="N26" s="334">
        <f t="shared" si="4"/>
        <v>1.1978021978021978</v>
      </c>
      <c r="O26" s="355">
        <v>899</v>
      </c>
      <c r="P26" s="373">
        <f t="shared" si="7"/>
        <v>8.3025489471739933E-2</v>
      </c>
      <c r="Q26" s="331">
        <v>0</v>
      </c>
      <c r="R26" s="372">
        <f t="shared" si="8"/>
        <v>0</v>
      </c>
      <c r="S26" s="355">
        <v>6</v>
      </c>
      <c r="T26" s="372">
        <f t="shared" si="9"/>
        <v>0.75</v>
      </c>
      <c r="U26" s="392">
        <f t="shared" si="5"/>
        <v>0.64572597701522716</v>
      </c>
      <c r="V26" s="566"/>
      <c r="W26" s="411">
        <f t="shared" si="10"/>
        <v>83.613274739970834</v>
      </c>
      <c r="X26" s="333">
        <v>82.986999999999995</v>
      </c>
      <c r="Y26" s="396">
        <f t="shared" si="6"/>
        <v>0.62627473997083882</v>
      </c>
    </row>
    <row r="27" spans="1:25" ht="13.5" thickBot="1">
      <c r="A27" s="335">
        <v>15</v>
      </c>
      <c r="B27" s="336" t="s">
        <v>133</v>
      </c>
      <c r="C27" s="337">
        <v>552.0800854915766</v>
      </c>
      <c r="D27" s="335">
        <v>39</v>
      </c>
      <c r="E27" s="364">
        <v>43</v>
      </c>
      <c r="F27" s="364">
        <v>0</v>
      </c>
      <c r="G27" s="364">
        <v>2</v>
      </c>
      <c r="H27" s="364">
        <v>13</v>
      </c>
      <c r="I27" s="364">
        <v>5</v>
      </c>
      <c r="J27" s="362">
        <f t="shared" si="2"/>
        <v>50</v>
      </c>
      <c r="K27" s="362">
        <f t="shared" si="3"/>
        <v>52</v>
      </c>
      <c r="L27" s="365">
        <f t="shared" si="0"/>
        <v>9.0566570528403667E-2</v>
      </c>
      <c r="M27" s="365">
        <f t="shared" si="1"/>
        <v>9.4189233349539811E-2</v>
      </c>
      <c r="N27" s="369">
        <f t="shared" si="4"/>
        <v>0.96153846153846156</v>
      </c>
      <c r="O27" s="356">
        <v>397</v>
      </c>
      <c r="P27" s="390">
        <f t="shared" si="7"/>
        <v>3.6664203915773921E-2</v>
      </c>
      <c r="Q27" s="338">
        <v>0</v>
      </c>
      <c r="R27" s="391">
        <f t="shared" si="8"/>
        <v>0</v>
      </c>
      <c r="S27" s="375">
        <v>4</v>
      </c>
      <c r="T27" s="379">
        <f t="shared" si="9"/>
        <v>0.5</v>
      </c>
      <c r="U27" s="392">
        <f t="shared" si="5"/>
        <v>0.49194822539853944</v>
      </c>
      <c r="V27" s="567"/>
      <c r="W27" s="411">
        <f t="shared" si="10"/>
        <v>63.701018066862112</v>
      </c>
      <c r="X27" s="337">
        <v>79.227000000000004</v>
      </c>
      <c r="Y27" s="404">
        <f t="shared" si="6"/>
        <v>-15.525981933137892</v>
      </c>
    </row>
    <row r="28" spans="1:25" ht="13.5" thickBot="1">
      <c r="A28" s="339"/>
      <c r="B28" s="340" t="s">
        <v>105</v>
      </c>
      <c r="C28" s="341">
        <f t="shared" ref="C28:N28" si="11">SUM(C13:C27)</f>
        <v>32222.999999999993</v>
      </c>
      <c r="D28" s="339">
        <f t="shared" si="11"/>
        <v>8603.4</v>
      </c>
      <c r="E28" s="366">
        <f t="shared" si="11"/>
        <v>9300</v>
      </c>
      <c r="F28" s="366">
        <f t="shared" si="11"/>
        <v>669.59999999999991</v>
      </c>
      <c r="G28" s="366">
        <f t="shared" si="11"/>
        <v>581</v>
      </c>
      <c r="H28" s="366">
        <f t="shared" si="11"/>
        <v>3394.4999999999995</v>
      </c>
      <c r="I28" s="366">
        <f t="shared" si="11"/>
        <v>3913</v>
      </c>
      <c r="J28" s="366">
        <f t="shared" si="11"/>
        <v>13794</v>
      </c>
      <c r="K28" s="366">
        <f t="shared" si="11"/>
        <v>12667.500000000004</v>
      </c>
      <c r="L28" s="367">
        <f t="shared" si="11"/>
        <v>4.1613859924819492</v>
      </c>
      <c r="M28" s="367">
        <f t="shared" si="11"/>
        <v>3.708167210431137</v>
      </c>
      <c r="N28" s="370">
        <f t="shared" si="11"/>
        <v>18.270902480959233</v>
      </c>
      <c r="O28" s="376">
        <f>SUM(O13:O27)</f>
        <v>10828</v>
      </c>
      <c r="P28" s="377">
        <f>SUM(P13:P27)</f>
        <v>1</v>
      </c>
      <c r="Q28" s="376">
        <v>8</v>
      </c>
      <c r="R28" s="387">
        <f t="shared" ref="R28:U28" si="12">SUM(R13:R27)</f>
        <v>7.125</v>
      </c>
      <c r="S28" s="376">
        <v>8</v>
      </c>
      <c r="T28" s="387">
        <f t="shared" si="12"/>
        <v>12.25</v>
      </c>
      <c r="U28" s="386">
        <f t="shared" si="12"/>
        <v>11.383360992383693</v>
      </c>
      <c r="V28" s="376"/>
      <c r="W28" s="412">
        <f>SUM(W13:W27)</f>
        <v>1474.0000000000002</v>
      </c>
      <c r="X28" s="408">
        <v>1246</v>
      </c>
      <c r="Y28" s="398">
        <f t="shared" si="6"/>
        <v>228.00000000000023</v>
      </c>
    </row>
    <row r="29" spans="1:25" ht="2.25" customHeight="1">
      <c r="A29" s="413"/>
      <c r="B29" s="349"/>
      <c r="C29" s="349"/>
      <c r="D29" s="349"/>
      <c r="E29" s="349"/>
      <c r="F29" s="349"/>
      <c r="G29" s="349"/>
      <c r="H29" s="349"/>
      <c r="I29" s="349"/>
      <c r="J29" s="349"/>
      <c r="K29" s="349"/>
      <c r="L29" s="349"/>
      <c r="M29" s="349"/>
      <c r="N29" s="349"/>
      <c r="O29" s="349"/>
      <c r="P29" s="349"/>
      <c r="Q29" s="349"/>
      <c r="R29" s="349"/>
      <c r="S29" s="349"/>
      <c r="T29" s="349"/>
      <c r="U29" s="349"/>
      <c r="V29" s="349"/>
      <c r="W29" s="414"/>
      <c r="X29" s="349"/>
    </row>
    <row r="30" spans="1:25" s="384" customFormat="1" hidden="1">
      <c r="A30" s="560"/>
      <c r="B30" s="561"/>
      <c r="C30" s="561"/>
      <c r="D30" s="561"/>
      <c r="E30" s="561"/>
      <c r="F30" s="561"/>
      <c r="G30" s="561"/>
      <c r="H30" s="561"/>
      <c r="I30" s="561"/>
      <c r="J30" s="561"/>
      <c r="K30" s="561"/>
      <c r="L30" s="561"/>
      <c r="M30" s="561"/>
      <c r="N30" s="405"/>
      <c r="O30" s="405"/>
      <c r="P30" s="405"/>
      <c r="Q30" s="405"/>
      <c r="R30" s="405"/>
      <c r="S30" s="405"/>
      <c r="T30" s="405"/>
      <c r="U30" s="561"/>
      <c r="V30" s="561"/>
      <c r="W30" s="562"/>
      <c r="Y30" s="343"/>
    </row>
    <row r="31" spans="1:25" s="382" customFormat="1" hidden="1">
      <c r="A31" s="560"/>
      <c r="B31" s="561"/>
      <c r="C31" s="561"/>
      <c r="D31" s="561"/>
      <c r="E31" s="561"/>
      <c r="F31" s="561"/>
      <c r="G31" s="561"/>
      <c r="H31" s="561"/>
      <c r="I31" s="561"/>
      <c r="J31" s="561"/>
      <c r="K31" s="561"/>
      <c r="L31" s="561"/>
      <c r="M31" s="561"/>
      <c r="N31" s="581"/>
      <c r="O31" s="561"/>
      <c r="P31" s="561"/>
      <c r="Q31" s="561"/>
      <c r="R31" s="561"/>
      <c r="S31" s="561"/>
      <c r="T31" s="561"/>
      <c r="U31" s="561"/>
      <c r="V31" s="561"/>
      <c r="W31" s="562"/>
      <c r="Y31" s="403"/>
    </row>
    <row r="32" spans="1:25" s="382" customFormat="1" hidden="1">
      <c r="A32" s="560"/>
      <c r="B32" s="561"/>
      <c r="C32" s="561"/>
      <c r="D32" s="405"/>
      <c r="E32" s="405"/>
      <c r="F32" s="405"/>
      <c r="G32" s="405"/>
      <c r="H32" s="405"/>
      <c r="I32" s="405"/>
      <c r="J32" s="561"/>
      <c r="K32" s="561"/>
      <c r="L32" s="561"/>
      <c r="M32" s="561"/>
      <c r="N32" s="581"/>
      <c r="O32" s="561"/>
      <c r="P32" s="561"/>
      <c r="Q32" s="561"/>
      <c r="R32" s="561"/>
      <c r="S32" s="561"/>
      <c r="T32" s="561"/>
      <c r="U32" s="561"/>
      <c r="V32" s="561"/>
      <c r="W32" s="562"/>
      <c r="Y32" s="403"/>
    </row>
    <row r="33" spans="1:25" s="349" customFormat="1" hidden="1">
      <c r="A33" s="415"/>
      <c r="B33" s="343"/>
      <c r="C33" s="343"/>
      <c r="D33" s="343"/>
      <c r="E33" s="343"/>
      <c r="F33" s="343"/>
      <c r="G33" s="343"/>
      <c r="H33" s="343"/>
      <c r="I33" s="343"/>
      <c r="J33" s="343"/>
      <c r="K33" s="343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43"/>
      <c r="W33" s="394"/>
      <c r="Y33" s="345"/>
    </row>
    <row r="34" spans="1:25" s="349" customFormat="1" hidden="1">
      <c r="A34" s="416"/>
      <c r="C34" s="344"/>
      <c r="D34" s="345"/>
      <c r="E34" s="345"/>
      <c r="F34" s="345"/>
      <c r="G34" s="345"/>
      <c r="H34" s="345"/>
      <c r="I34" s="345"/>
      <c r="J34" s="345"/>
      <c r="K34" s="345"/>
      <c r="L34" s="350"/>
      <c r="M34" s="350"/>
      <c r="N34" s="350"/>
      <c r="O34" s="383"/>
      <c r="P34" s="351"/>
      <c r="Q34" s="345"/>
      <c r="R34" s="351"/>
      <c r="S34" s="383"/>
      <c r="T34" s="351"/>
      <c r="U34" s="350"/>
      <c r="V34" s="582"/>
      <c r="W34" s="417"/>
      <c r="X34" s="344"/>
      <c r="Y34" s="345"/>
    </row>
    <row r="35" spans="1:25" s="349" customFormat="1" hidden="1">
      <c r="A35" s="416"/>
      <c r="C35" s="344"/>
      <c r="D35" s="345"/>
      <c r="E35" s="345"/>
      <c r="F35" s="345"/>
      <c r="G35" s="345"/>
      <c r="H35" s="345"/>
      <c r="I35" s="345"/>
      <c r="J35" s="345"/>
      <c r="K35" s="345"/>
      <c r="L35" s="350"/>
      <c r="M35" s="350"/>
      <c r="N35" s="350"/>
      <c r="O35" s="383"/>
      <c r="P35" s="351"/>
      <c r="Q35" s="345"/>
      <c r="R35" s="351"/>
      <c r="S35" s="383"/>
      <c r="T35" s="351"/>
      <c r="U35" s="350"/>
      <c r="V35" s="582"/>
      <c r="W35" s="417"/>
      <c r="X35" s="344"/>
      <c r="Y35" s="345"/>
    </row>
    <row r="36" spans="1:25" s="349" customFormat="1" hidden="1">
      <c r="A36" s="416"/>
      <c r="C36" s="344"/>
      <c r="D36" s="345"/>
      <c r="E36" s="345"/>
      <c r="F36" s="345"/>
      <c r="G36" s="345"/>
      <c r="H36" s="345"/>
      <c r="I36" s="345"/>
      <c r="J36" s="345"/>
      <c r="K36" s="344"/>
      <c r="L36" s="350"/>
      <c r="M36" s="350"/>
      <c r="N36" s="350"/>
      <c r="O36" s="383"/>
      <c r="P36" s="351"/>
      <c r="Q36" s="345"/>
      <c r="R36" s="351"/>
      <c r="S36" s="383"/>
      <c r="T36" s="351"/>
      <c r="U36" s="350"/>
      <c r="V36" s="582"/>
      <c r="W36" s="417"/>
      <c r="X36" s="344"/>
      <c r="Y36" s="345"/>
    </row>
    <row r="37" spans="1:25" s="349" customFormat="1" hidden="1">
      <c r="A37" s="416"/>
      <c r="C37" s="344"/>
      <c r="D37" s="345"/>
      <c r="E37" s="345"/>
      <c r="F37" s="345"/>
      <c r="G37" s="345"/>
      <c r="H37" s="345"/>
      <c r="I37" s="345"/>
      <c r="J37" s="345"/>
      <c r="K37" s="345"/>
      <c r="L37" s="350"/>
      <c r="M37" s="350"/>
      <c r="N37" s="350"/>
      <c r="O37" s="383"/>
      <c r="P37" s="351"/>
      <c r="Q37" s="345"/>
      <c r="R37" s="351"/>
      <c r="S37" s="383"/>
      <c r="T37" s="351"/>
      <c r="U37" s="350"/>
      <c r="V37" s="582"/>
      <c r="W37" s="417"/>
      <c r="X37" s="344"/>
      <c r="Y37" s="345"/>
    </row>
    <row r="38" spans="1:25" s="349" customFormat="1" hidden="1">
      <c r="A38" s="416"/>
      <c r="C38" s="344"/>
      <c r="D38" s="345"/>
      <c r="E38" s="345"/>
      <c r="F38" s="345"/>
      <c r="G38" s="345"/>
      <c r="H38" s="345"/>
      <c r="I38" s="345"/>
      <c r="J38" s="345"/>
      <c r="K38" s="345"/>
      <c r="L38" s="350"/>
      <c r="M38" s="350"/>
      <c r="N38" s="350"/>
      <c r="O38" s="383"/>
      <c r="P38" s="351"/>
      <c r="Q38" s="345"/>
      <c r="R38" s="351"/>
      <c r="S38" s="383"/>
      <c r="T38" s="351"/>
      <c r="U38" s="350"/>
      <c r="V38" s="582"/>
      <c r="W38" s="417"/>
      <c r="X38" s="344"/>
      <c r="Y38" s="345"/>
    </row>
    <row r="39" spans="1:25" s="349" customFormat="1" hidden="1">
      <c r="A39" s="416"/>
      <c r="C39" s="344"/>
      <c r="D39" s="345"/>
      <c r="E39" s="345"/>
      <c r="F39" s="345"/>
      <c r="G39" s="345"/>
      <c r="H39" s="345"/>
      <c r="I39" s="345"/>
      <c r="J39" s="345"/>
      <c r="K39" s="345"/>
      <c r="L39" s="350"/>
      <c r="M39" s="350"/>
      <c r="N39" s="350"/>
      <c r="O39" s="383"/>
      <c r="P39" s="351"/>
      <c r="Q39" s="345"/>
      <c r="R39" s="351"/>
      <c r="S39" s="383"/>
      <c r="T39" s="351"/>
      <c r="U39" s="350"/>
      <c r="V39" s="582"/>
      <c r="W39" s="417"/>
      <c r="X39" s="344"/>
      <c r="Y39" s="345"/>
    </row>
    <row r="40" spans="1:25" s="349" customFormat="1" hidden="1">
      <c r="A40" s="416"/>
      <c r="C40" s="344"/>
      <c r="D40" s="345"/>
      <c r="E40" s="345"/>
      <c r="F40" s="345"/>
      <c r="G40" s="345"/>
      <c r="H40" s="345"/>
      <c r="I40" s="345"/>
      <c r="J40" s="345"/>
      <c r="K40" s="345"/>
      <c r="L40" s="350"/>
      <c r="M40" s="350"/>
      <c r="N40" s="350"/>
      <c r="O40" s="383"/>
      <c r="P40" s="351"/>
      <c r="Q40" s="345"/>
      <c r="R40" s="351"/>
      <c r="S40" s="383"/>
      <c r="T40" s="351"/>
      <c r="U40" s="350"/>
      <c r="V40" s="582"/>
      <c r="W40" s="417"/>
      <c r="X40" s="344"/>
      <c r="Y40" s="345"/>
    </row>
    <row r="41" spans="1:25" s="349" customFormat="1" hidden="1">
      <c r="A41" s="416"/>
      <c r="C41" s="344"/>
      <c r="D41" s="345"/>
      <c r="E41" s="345"/>
      <c r="F41" s="345"/>
      <c r="G41" s="345"/>
      <c r="H41" s="345"/>
      <c r="I41" s="345"/>
      <c r="J41" s="345"/>
      <c r="K41" s="345"/>
      <c r="L41" s="350"/>
      <c r="M41" s="350"/>
      <c r="N41" s="350"/>
      <c r="O41" s="383"/>
      <c r="P41" s="351"/>
      <c r="Q41" s="345"/>
      <c r="R41" s="351"/>
      <c r="S41" s="383"/>
      <c r="T41" s="351"/>
      <c r="U41" s="350"/>
      <c r="V41" s="582"/>
      <c r="W41" s="417"/>
      <c r="X41" s="344"/>
      <c r="Y41" s="345"/>
    </row>
    <row r="42" spans="1:25" s="349" customFormat="1" hidden="1">
      <c r="A42" s="416"/>
      <c r="C42" s="344"/>
      <c r="D42" s="345"/>
      <c r="E42" s="345"/>
      <c r="F42" s="345"/>
      <c r="G42" s="345"/>
      <c r="H42" s="345"/>
      <c r="I42" s="345"/>
      <c r="J42" s="345"/>
      <c r="K42" s="345"/>
      <c r="L42" s="350"/>
      <c r="M42" s="350"/>
      <c r="N42" s="350"/>
      <c r="O42" s="383"/>
      <c r="P42" s="351"/>
      <c r="Q42" s="345"/>
      <c r="R42" s="351"/>
      <c r="S42" s="383"/>
      <c r="T42" s="351"/>
      <c r="U42" s="350"/>
      <c r="V42" s="582"/>
      <c r="W42" s="417"/>
      <c r="X42" s="344"/>
      <c r="Y42" s="345"/>
    </row>
    <row r="43" spans="1:25" s="349" customFormat="1" hidden="1">
      <c r="A43" s="416"/>
      <c r="C43" s="344"/>
      <c r="D43" s="345"/>
      <c r="E43" s="345"/>
      <c r="F43" s="345"/>
      <c r="G43" s="345"/>
      <c r="H43" s="345"/>
      <c r="I43" s="345"/>
      <c r="J43" s="345"/>
      <c r="K43" s="345"/>
      <c r="L43" s="350"/>
      <c r="M43" s="350"/>
      <c r="N43" s="350"/>
      <c r="O43" s="383"/>
      <c r="P43" s="351"/>
      <c r="Q43" s="345"/>
      <c r="R43" s="351"/>
      <c r="S43" s="383"/>
      <c r="T43" s="351"/>
      <c r="U43" s="350"/>
      <c r="V43" s="582"/>
      <c r="W43" s="417"/>
      <c r="X43" s="344"/>
      <c r="Y43" s="345"/>
    </row>
    <row r="44" spans="1:25" s="349" customFormat="1" hidden="1">
      <c r="A44" s="416"/>
      <c r="C44" s="344"/>
      <c r="D44" s="345"/>
      <c r="E44" s="345"/>
      <c r="F44" s="345"/>
      <c r="G44" s="345"/>
      <c r="H44" s="345"/>
      <c r="I44" s="345"/>
      <c r="J44" s="345"/>
      <c r="K44" s="345"/>
      <c r="L44" s="350"/>
      <c r="M44" s="350"/>
      <c r="N44" s="350"/>
      <c r="O44" s="383"/>
      <c r="P44" s="351"/>
      <c r="Q44" s="345"/>
      <c r="R44" s="351"/>
      <c r="S44" s="383"/>
      <c r="T44" s="351"/>
      <c r="U44" s="350"/>
      <c r="V44" s="582"/>
      <c r="W44" s="417"/>
      <c r="X44" s="344"/>
      <c r="Y44" s="345"/>
    </row>
    <row r="45" spans="1:25" s="349" customFormat="1" hidden="1">
      <c r="A45" s="416"/>
      <c r="C45" s="344"/>
      <c r="D45" s="345"/>
      <c r="E45" s="345"/>
      <c r="F45" s="345"/>
      <c r="G45" s="345"/>
      <c r="H45" s="345"/>
      <c r="I45" s="345"/>
      <c r="J45" s="345"/>
      <c r="K45" s="345"/>
      <c r="L45" s="350"/>
      <c r="M45" s="350"/>
      <c r="N45" s="350"/>
      <c r="O45" s="383"/>
      <c r="P45" s="351"/>
      <c r="Q45" s="345"/>
      <c r="R45" s="351"/>
      <c r="S45" s="383"/>
      <c r="T45" s="351"/>
      <c r="U45" s="350"/>
      <c r="V45" s="582"/>
      <c r="W45" s="417"/>
      <c r="X45" s="344"/>
      <c r="Y45" s="345"/>
    </row>
    <row r="46" spans="1:25" s="349" customFormat="1" hidden="1">
      <c r="A46" s="416"/>
      <c r="C46" s="344"/>
      <c r="D46" s="345"/>
      <c r="E46" s="345"/>
      <c r="F46" s="345"/>
      <c r="G46" s="345"/>
      <c r="H46" s="345"/>
      <c r="I46" s="345"/>
      <c r="J46" s="345"/>
      <c r="K46" s="345"/>
      <c r="L46" s="350"/>
      <c r="M46" s="350"/>
      <c r="N46" s="350"/>
      <c r="O46" s="383"/>
      <c r="P46" s="351"/>
      <c r="Q46" s="345"/>
      <c r="R46" s="351"/>
      <c r="S46" s="383"/>
      <c r="T46" s="351"/>
      <c r="U46" s="350"/>
      <c r="V46" s="582"/>
      <c r="W46" s="417"/>
      <c r="X46" s="344"/>
      <c r="Y46" s="345"/>
    </row>
    <row r="47" spans="1:25" s="349" customFormat="1" hidden="1">
      <c r="A47" s="416"/>
      <c r="C47" s="344"/>
      <c r="D47" s="345"/>
      <c r="E47" s="345"/>
      <c r="F47" s="345"/>
      <c r="G47" s="345"/>
      <c r="H47" s="345"/>
      <c r="I47" s="345"/>
      <c r="J47" s="345"/>
      <c r="K47" s="345"/>
      <c r="L47" s="350"/>
      <c r="M47" s="350"/>
      <c r="N47" s="350"/>
      <c r="O47" s="383"/>
      <c r="P47" s="351"/>
      <c r="Q47" s="345"/>
      <c r="R47" s="351"/>
      <c r="S47" s="383"/>
      <c r="T47" s="351"/>
      <c r="U47" s="350"/>
      <c r="V47" s="582"/>
      <c r="W47" s="417"/>
      <c r="X47" s="344"/>
      <c r="Y47" s="345"/>
    </row>
    <row r="48" spans="1:25" s="349" customFormat="1" ht="13.5" hidden="1" thickBot="1">
      <c r="A48" s="418"/>
      <c r="B48" s="419"/>
      <c r="C48" s="420"/>
      <c r="D48" s="421"/>
      <c r="E48" s="421"/>
      <c r="F48" s="421"/>
      <c r="G48" s="421"/>
      <c r="H48" s="421"/>
      <c r="I48" s="421"/>
      <c r="J48" s="421"/>
      <c r="K48" s="421"/>
      <c r="L48" s="422"/>
      <c r="M48" s="422"/>
      <c r="N48" s="422"/>
      <c r="O48" s="423"/>
      <c r="P48" s="424"/>
      <c r="Q48" s="421"/>
      <c r="R48" s="424"/>
      <c r="S48" s="423"/>
      <c r="T48" s="424"/>
      <c r="U48" s="422"/>
      <c r="V48" s="583"/>
      <c r="W48" s="425"/>
      <c r="X48" s="344"/>
      <c r="Y48" s="345"/>
    </row>
    <row r="49" spans="1:30" s="349" customFormat="1">
      <c r="A49" s="345"/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50"/>
      <c r="M49" s="350"/>
      <c r="N49" s="350"/>
      <c r="O49" s="383"/>
      <c r="P49" s="383"/>
      <c r="Q49" s="383"/>
      <c r="R49" s="383"/>
      <c r="S49" s="383"/>
      <c r="T49" s="383"/>
      <c r="U49" s="383"/>
      <c r="V49" s="383"/>
      <c r="W49" s="383"/>
      <c r="X49" s="385"/>
      <c r="Y49" s="345"/>
    </row>
    <row r="50" spans="1:30" s="349" customFormat="1">
      <c r="Y50" s="345"/>
    </row>
    <row r="51" spans="1:30" s="384" customFormat="1" ht="76.5" customHeight="1">
      <c r="A51" s="561"/>
      <c r="B51" s="561"/>
      <c r="C51" s="561"/>
      <c r="D51" s="561"/>
      <c r="E51" s="561"/>
      <c r="F51" s="561"/>
      <c r="G51" s="561"/>
      <c r="H51" s="561"/>
      <c r="I51" s="561"/>
      <c r="J51" s="561"/>
      <c r="K51" s="561"/>
      <c r="L51" s="561"/>
      <c r="M51" s="561"/>
      <c r="N51" s="348"/>
      <c r="O51" s="348"/>
      <c r="P51" s="348"/>
      <c r="Q51" s="348"/>
      <c r="R51" s="348"/>
      <c r="S51" s="348"/>
      <c r="T51" s="348"/>
      <c r="U51" s="561"/>
      <c r="V51" s="561"/>
      <c r="W51" s="561"/>
      <c r="Y51" s="343"/>
      <c r="AD51" s="382"/>
    </row>
    <row r="52" spans="1:30" s="382" customFormat="1" ht="33" customHeight="1">
      <c r="A52" s="561"/>
      <c r="B52" s="561"/>
      <c r="C52" s="561"/>
      <c r="D52" s="561"/>
      <c r="E52" s="561"/>
      <c r="F52" s="561"/>
      <c r="G52" s="561"/>
      <c r="H52" s="561"/>
      <c r="I52" s="561"/>
      <c r="J52" s="561"/>
      <c r="K52" s="561"/>
      <c r="L52" s="561"/>
      <c r="M52" s="561"/>
      <c r="N52" s="581"/>
      <c r="O52" s="561"/>
      <c r="P52" s="561"/>
      <c r="Q52" s="561"/>
      <c r="R52" s="561"/>
      <c r="S52" s="561"/>
      <c r="T52" s="561"/>
      <c r="U52" s="561"/>
      <c r="V52" s="561"/>
      <c r="W52" s="561"/>
      <c r="Y52" s="403"/>
    </row>
    <row r="53" spans="1:30" s="382" customFormat="1" ht="30" customHeight="1">
      <c r="A53" s="561"/>
      <c r="B53" s="561"/>
      <c r="C53" s="561"/>
      <c r="D53" s="348"/>
      <c r="E53" s="348"/>
      <c r="F53" s="348"/>
      <c r="G53" s="348"/>
      <c r="H53" s="348"/>
      <c r="I53" s="348"/>
      <c r="J53" s="561"/>
      <c r="K53" s="561"/>
      <c r="L53" s="561"/>
      <c r="M53" s="561"/>
      <c r="N53" s="581"/>
      <c r="O53" s="561"/>
      <c r="P53" s="561"/>
      <c r="Q53" s="561"/>
      <c r="R53" s="561"/>
      <c r="S53" s="561"/>
      <c r="T53" s="561"/>
      <c r="U53" s="561"/>
      <c r="V53" s="561"/>
      <c r="W53" s="561"/>
      <c r="Y53" s="403"/>
    </row>
    <row r="54" spans="1:30" s="349" customFormat="1">
      <c r="A54" s="343"/>
      <c r="B54" s="343"/>
      <c r="C54" s="343"/>
      <c r="D54" s="343"/>
      <c r="E54" s="343"/>
      <c r="F54" s="343"/>
      <c r="G54" s="343"/>
      <c r="H54" s="343"/>
      <c r="I54" s="343"/>
      <c r="J54" s="343"/>
      <c r="K54" s="343"/>
      <c r="L54" s="343"/>
      <c r="M54" s="343"/>
      <c r="N54" s="343"/>
      <c r="O54" s="343"/>
      <c r="P54" s="343"/>
      <c r="Q54" s="343"/>
      <c r="R54" s="343"/>
      <c r="S54" s="343"/>
      <c r="T54" s="343"/>
      <c r="U54" s="343"/>
      <c r="V54" s="343"/>
      <c r="W54" s="343"/>
      <c r="Y54" s="345"/>
    </row>
    <row r="55" spans="1:30" s="349" customFormat="1">
      <c r="A55" s="345"/>
      <c r="C55" s="344"/>
      <c r="D55" s="345"/>
      <c r="E55" s="345"/>
      <c r="F55" s="345"/>
      <c r="G55" s="345"/>
      <c r="H55" s="345"/>
      <c r="I55" s="345"/>
      <c r="J55" s="345"/>
      <c r="K55" s="345"/>
      <c r="L55" s="350"/>
      <c r="M55" s="350"/>
      <c r="N55" s="350"/>
      <c r="O55" s="383"/>
      <c r="P55" s="351"/>
      <c r="Q55" s="345"/>
      <c r="R55" s="351"/>
      <c r="S55" s="383"/>
      <c r="T55" s="351"/>
      <c r="U55" s="350"/>
      <c r="V55" s="582"/>
      <c r="W55" s="344"/>
      <c r="X55" s="344"/>
      <c r="Y55" s="345"/>
    </row>
    <row r="56" spans="1:30" s="349" customFormat="1">
      <c r="A56" s="345"/>
      <c r="C56" s="344"/>
      <c r="D56" s="345"/>
      <c r="E56" s="345"/>
      <c r="F56" s="345"/>
      <c r="G56" s="345"/>
      <c r="H56" s="345"/>
      <c r="I56" s="345"/>
      <c r="J56" s="345"/>
      <c r="K56" s="345"/>
      <c r="L56" s="350"/>
      <c r="M56" s="350"/>
      <c r="N56" s="350"/>
      <c r="O56" s="383"/>
      <c r="P56" s="351"/>
      <c r="Q56" s="345"/>
      <c r="R56" s="351"/>
      <c r="S56" s="383"/>
      <c r="T56" s="351"/>
      <c r="U56" s="350"/>
      <c r="V56" s="582"/>
      <c r="W56" s="344"/>
      <c r="X56" s="344"/>
      <c r="Y56" s="345"/>
    </row>
    <row r="57" spans="1:30" s="349" customFormat="1">
      <c r="A57" s="345"/>
      <c r="C57" s="344"/>
      <c r="D57" s="345"/>
      <c r="E57" s="345"/>
      <c r="F57" s="345"/>
      <c r="G57" s="345"/>
      <c r="H57" s="345"/>
      <c r="I57" s="345"/>
      <c r="J57" s="345"/>
      <c r="K57" s="344"/>
      <c r="L57" s="350"/>
      <c r="M57" s="350"/>
      <c r="N57" s="350"/>
      <c r="O57" s="383"/>
      <c r="P57" s="351"/>
      <c r="Q57" s="345"/>
      <c r="R57" s="351"/>
      <c r="S57" s="383"/>
      <c r="T57" s="351"/>
      <c r="U57" s="350"/>
      <c r="V57" s="582"/>
      <c r="W57" s="344"/>
      <c r="X57" s="344"/>
      <c r="Y57" s="345"/>
    </row>
    <row r="58" spans="1:30" s="349" customFormat="1">
      <c r="A58" s="345"/>
      <c r="C58" s="344"/>
      <c r="D58" s="345"/>
      <c r="E58" s="345"/>
      <c r="F58" s="345"/>
      <c r="G58" s="345"/>
      <c r="H58" s="345"/>
      <c r="I58" s="345"/>
      <c r="J58" s="345"/>
      <c r="K58" s="345"/>
      <c r="L58" s="350"/>
      <c r="M58" s="350"/>
      <c r="N58" s="350"/>
      <c r="O58" s="383"/>
      <c r="P58" s="351"/>
      <c r="Q58" s="345"/>
      <c r="R58" s="351"/>
      <c r="S58" s="383"/>
      <c r="T58" s="351"/>
      <c r="U58" s="350"/>
      <c r="V58" s="582"/>
      <c r="W58" s="344"/>
      <c r="X58" s="344"/>
      <c r="Y58" s="345"/>
    </row>
    <row r="59" spans="1:30" s="349" customFormat="1">
      <c r="A59" s="345"/>
      <c r="C59" s="344"/>
      <c r="D59" s="345"/>
      <c r="E59" s="345"/>
      <c r="F59" s="345"/>
      <c r="G59" s="345"/>
      <c r="H59" s="345"/>
      <c r="I59" s="345"/>
      <c r="J59" s="345"/>
      <c r="K59" s="345"/>
      <c r="L59" s="350"/>
      <c r="M59" s="350"/>
      <c r="N59" s="350"/>
      <c r="O59" s="383"/>
      <c r="P59" s="351"/>
      <c r="Q59" s="345"/>
      <c r="R59" s="351"/>
      <c r="S59" s="383"/>
      <c r="T59" s="351"/>
      <c r="U59" s="350"/>
      <c r="V59" s="582"/>
      <c r="W59" s="344"/>
      <c r="X59" s="344"/>
      <c r="Y59" s="345"/>
    </row>
    <row r="60" spans="1:30" s="349" customFormat="1">
      <c r="A60" s="345"/>
      <c r="C60" s="344"/>
      <c r="D60" s="345"/>
      <c r="E60" s="345"/>
      <c r="F60" s="345"/>
      <c r="G60" s="345"/>
      <c r="H60" s="345"/>
      <c r="I60" s="345"/>
      <c r="J60" s="345"/>
      <c r="K60" s="345"/>
      <c r="L60" s="350"/>
      <c r="M60" s="350"/>
      <c r="N60" s="350"/>
      <c r="O60" s="383"/>
      <c r="P60" s="351"/>
      <c r="Q60" s="345"/>
      <c r="R60" s="351"/>
      <c r="S60" s="383"/>
      <c r="T60" s="351"/>
      <c r="U60" s="350"/>
      <c r="V60" s="582"/>
      <c r="W60" s="344"/>
      <c r="X60" s="344"/>
      <c r="Y60" s="345"/>
    </row>
    <row r="61" spans="1:30" s="349" customFormat="1">
      <c r="A61" s="345"/>
      <c r="C61" s="344"/>
      <c r="D61" s="345"/>
      <c r="E61" s="345"/>
      <c r="F61" s="345"/>
      <c r="G61" s="345"/>
      <c r="H61" s="345"/>
      <c r="I61" s="345"/>
      <c r="J61" s="345"/>
      <c r="K61" s="345"/>
      <c r="L61" s="350"/>
      <c r="M61" s="350"/>
      <c r="N61" s="350"/>
      <c r="O61" s="383"/>
      <c r="P61" s="351"/>
      <c r="Q61" s="345"/>
      <c r="R61" s="351"/>
      <c r="S61" s="383"/>
      <c r="T61" s="351"/>
      <c r="U61" s="350"/>
      <c r="V61" s="582"/>
      <c r="W61" s="344"/>
      <c r="X61" s="344"/>
      <c r="Y61" s="345"/>
    </row>
    <row r="62" spans="1:30" s="349" customFormat="1">
      <c r="A62" s="345"/>
      <c r="C62" s="344"/>
      <c r="D62" s="345"/>
      <c r="E62" s="345"/>
      <c r="F62" s="345"/>
      <c r="G62" s="345"/>
      <c r="H62" s="345"/>
      <c r="I62" s="345"/>
      <c r="J62" s="345"/>
      <c r="K62" s="345"/>
      <c r="L62" s="350"/>
      <c r="M62" s="350"/>
      <c r="N62" s="350"/>
      <c r="O62" s="383"/>
      <c r="P62" s="351"/>
      <c r="Q62" s="345"/>
      <c r="R62" s="351"/>
      <c r="S62" s="383"/>
      <c r="T62" s="351"/>
      <c r="U62" s="350"/>
      <c r="V62" s="582"/>
      <c r="W62" s="344"/>
      <c r="X62" s="344"/>
      <c r="Y62" s="345"/>
    </row>
    <row r="63" spans="1:30" s="349" customFormat="1">
      <c r="A63" s="345"/>
      <c r="C63" s="344"/>
      <c r="D63" s="345"/>
      <c r="E63" s="345"/>
      <c r="F63" s="345"/>
      <c r="G63" s="345"/>
      <c r="H63" s="345"/>
      <c r="I63" s="345"/>
      <c r="J63" s="345"/>
      <c r="K63" s="345"/>
      <c r="L63" s="350"/>
      <c r="M63" s="350"/>
      <c r="N63" s="350"/>
      <c r="O63" s="383"/>
      <c r="P63" s="351"/>
      <c r="Q63" s="345"/>
      <c r="R63" s="351"/>
      <c r="S63" s="383"/>
      <c r="T63" s="351"/>
      <c r="U63" s="350"/>
      <c r="V63" s="582"/>
      <c r="W63" s="344"/>
      <c r="X63" s="344"/>
      <c r="Y63" s="345"/>
    </row>
    <row r="64" spans="1:30" s="349" customFormat="1">
      <c r="A64" s="345"/>
      <c r="C64" s="344"/>
      <c r="D64" s="345"/>
      <c r="E64" s="345"/>
      <c r="F64" s="345"/>
      <c r="G64" s="345"/>
      <c r="H64" s="345"/>
      <c r="I64" s="345"/>
      <c r="J64" s="345"/>
      <c r="K64" s="345"/>
      <c r="L64" s="350"/>
      <c r="M64" s="350"/>
      <c r="N64" s="350"/>
      <c r="O64" s="383"/>
      <c r="P64" s="351"/>
      <c r="Q64" s="345"/>
      <c r="R64" s="351"/>
      <c r="S64" s="383"/>
      <c r="T64" s="351"/>
      <c r="U64" s="350"/>
      <c r="V64" s="582"/>
      <c r="W64" s="344"/>
      <c r="X64" s="344"/>
      <c r="Y64" s="345"/>
    </row>
    <row r="65" spans="1:25" s="349" customFormat="1">
      <c r="A65" s="345"/>
      <c r="C65" s="344"/>
      <c r="D65" s="345"/>
      <c r="E65" s="345"/>
      <c r="F65" s="345"/>
      <c r="G65" s="345"/>
      <c r="H65" s="345"/>
      <c r="I65" s="345"/>
      <c r="J65" s="345"/>
      <c r="K65" s="345"/>
      <c r="L65" s="350"/>
      <c r="M65" s="350"/>
      <c r="N65" s="350"/>
      <c r="O65" s="383"/>
      <c r="P65" s="351"/>
      <c r="Q65" s="345"/>
      <c r="R65" s="351"/>
      <c r="S65" s="383"/>
      <c r="T65" s="351"/>
      <c r="U65" s="350"/>
      <c r="V65" s="582"/>
      <c r="W65" s="344"/>
      <c r="X65" s="344"/>
      <c r="Y65" s="345"/>
    </row>
    <row r="66" spans="1:25" s="349" customFormat="1">
      <c r="A66" s="345"/>
      <c r="C66" s="344"/>
      <c r="D66" s="345"/>
      <c r="E66" s="345"/>
      <c r="F66" s="345"/>
      <c r="G66" s="345"/>
      <c r="H66" s="345"/>
      <c r="I66" s="345"/>
      <c r="J66" s="345"/>
      <c r="K66" s="345"/>
      <c r="L66" s="350"/>
      <c r="M66" s="350"/>
      <c r="N66" s="350"/>
      <c r="O66" s="383"/>
      <c r="P66" s="351"/>
      <c r="Q66" s="345"/>
      <c r="R66" s="351"/>
      <c r="S66" s="383"/>
      <c r="T66" s="351"/>
      <c r="U66" s="350"/>
      <c r="V66" s="582"/>
      <c r="W66" s="344"/>
      <c r="X66" s="344"/>
      <c r="Y66" s="345"/>
    </row>
    <row r="67" spans="1:25" s="349" customFormat="1">
      <c r="A67" s="345"/>
      <c r="C67" s="344"/>
      <c r="D67" s="345"/>
      <c r="E67" s="345"/>
      <c r="F67" s="345"/>
      <c r="G67" s="345"/>
      <c r="H67" s="345"/>
      <c r="I67" s="345"/>
      <c r="J67" s="345"/>
      <c r="K67" s="345"/>
      <c r="L67" s="350"/>
      <c r="M67" s="350"/>
      <c r="N67" s="350"/>
      <c r="O67" s="383"/>
      <c r="P67" s="351"/>
      <c r="Q67" s="345"/>
      <c r="R67" s="351"/>
      <c r="S67" s="383"/>
      <c r="T67" s="351"/>
      <c r="U67" s="350"/>
      <c r="V67" s="582"/>
      <c r="W67" s="344"/>
      <c r="X67" s="344"/>
      <c r="Y67" s="345"/>
    </row>
    <row r="68" spans="1:25" s="349" customFormat="1">
      <c r="A68" s="345"/>
      <c r="C68" s="344"/>
      <c r="D68" s="345"/>
      <c r="E68" s="345"/>
      <c r="F68" s="345"/>
      <c r="G68" s="345"/>
      <c r="H68" s="345"/>
      <c r="I68" s="345"/>
      <c r="J68" s="345"/>
      <c r="K68" s="345"/>
      <c r="L68" s="350"/>
      <c r="M68" s="350"/>
      <c r="N68" s="350"/>
      <c r="O68" s="383"/>
      <c r="P68" s="351"/>
      <c r="Q68" s="345"/>
      <c r="R68" s="351"/>
      <c r="S68" s="383"/>
      <c r="T68" s="351"/>
      <c r="U68" s="350"/>
      <c r="V68" s="582"/>
      <c r="W68" s="344"/>
      <c r="X68" s="344"/>
      <c r="Y68" s="345"/>
    </row>
    <row r="69" spans="1:25" s="349" customFormat="1">
      <c r="A69" s="345"/>
      <c r="C69" s="344"/>
      <c r="D69" s="345"/>
      <c r="E69" s="345"/>
      <c r="F69" s="345"/>
      <c r="G69" s="345"/>
      <c r="H69" s="345"/>
      <c r="I69" s="345"/>
      <c r="J69" s="345"/>
      <c r="K69" s="345"/>
      <c r="L69" s="350"/>
      <c r="M69" s="350"/>
      <c r="N69" s="350"/>
      <c r="O69" s="383"/>
      <c r="P69" s="351"/>
      <c r="Q69" s="345"/>
      <c r="R69" s="351"/>
      <c r="S69" s="383"/>
      <c r="T69" s="351"/>
      <c r="U69" s="350"/>
      <c r="V69" s="582"/>
      <c r="W69" s="344"/>
      <c r="X69" s="344"/>
      <c r="Y69" s="345"/>
    </row>
    <row r="70" spans="1:25" s="349" customFormat="1">
      <c r="A70" s="345"/>
      <c r="B70" s="345"/>
      <c r="C70" s="345"/>
      <c r="D70" s="345"/>
      <c r="E70" s="345"/>
      <c r="F70" s="345"/>
      <c r="G70" s="345"/>
      <c r="H70" s="345"/>
      <c r="I70" s="345"/>
      <c r="J70" s="345"/>
      <c r="K70" s="345"/>
      <c r="L70" s="350"/>
      <c r="M70" s="350"/>
      <c r="N70" s="350"/>
      <c r="O70" s="383"/>
      <c r="P70" s="383"/>
      <c r="Q70" s="383"/>
      <c r="R70" s="383"/>
      <c r="S70" s="383"/>
      <c r="T70" s="383"/>
      <c r="U70" s="383"/>
      <c r="V70" s="383"/>
      <c r="W70" s="383"/>
      <c r="X70" s="385"/>
      <c r="Y70" s="345"/>
    </row>
  </sheetData>
  <mergeCells count="75">
    <mergeCell ref="V55:V69"/>
    <mergeCell ref="V31:V32"/>
    <mergeCell ref="W31:W32"/>
    <mergeCell ref="V34:V48"/>
    <mergeCell ref="A8:Y8"/>
    <mergeCell ref="S52:S53"/>
    <mergeCell ref="T52:T53"/>
    <mergeCell ref="X9:X11"/>
    <mergeCell ref="V52:V53"/>
    <mergeCell ref="W52:W53"/>
    <mergeCell ref="U52:U53"/>
    <mergeCell ref="O52:O53"/>
    <mergeCell ref="A52:A53"/>
    <mergeCell ref="B52:B53"/>
    <mergeCell ref="C52:C53"/>
    <mergeCell ref="D52:E52"/>
    <mergeCell ref="F52:G52"/>
    <mergeCell ref="H52:I52"/>
    <mergeCell ref="J52:J53"/>
    <mergeCell ref="K52:K53"/>
    <mergeCell ref="L52:L53"/>
    <mergeCell ref="M52:M53"/>
    <mergeCell ref="N52:N53"/>
    <mergeCell ref="P52:P53"/>
    <mergeCell ref="Q52:Q53"/>
    <mergeCell ref="R52:R53"/>
    <mergeCell ref="A51:B51"/>
    <mergeCell ref="C51:M51"/>
    <mergeCell ref="U51:W51"/>
    <mergeCell ref="P31:P32"/>
    <mergeCell ref="Q31:Q32"/>
    <mergeCell ref="R31:R32"/>
    <mergeCell ref="S31:S32"/>
    <mergeCell ref="T31:T32"/>
    <mergeCell ref="U31:U32"/>
    <mergeCell ref="J31:J32"/>
    <mergeCell ref="K31:K32"/>
    <mergeCell ref="L31:L32"/>
    <mergeCell ref="M31:M32"/>
    <mergeCell ref="N31:N32"/>
    <mergeCell ref="O31:O32"/>
    <mergeCell ref="A31:A32"/>
    <mergeCell ref="B31:B32"/>
    <mergeCell ref="C31:C32"/>
    <mergeCell ref="D31:E31"/>
    <mergeCell ref="F31:G31"/>
    <mergeCell ref="H31:I31"/>
    <mergeCell ref="A30:B30"/>
    <mergeCell ref="C30:M30"/>
    <mergeCell ref="U30:W30"/>
    <mergeCell ref="C9:M9"/>
    <mergeCell ref="C10:C11"/>
    <mergeCell ref="S10:S11"/>
    <mergeCell ref="V13:V27"/>
    <mergeCell ref="M10:M11"/>
    <mergeCell ref="N10:N11"/>
    <mergeCell ref="O10:O11"/>
    <mergeCell ref="U9:U11"/>
    <mergeCell ref="V9:V11"/>
    <mergeCell ref="W9:W11"/>
    <mergeCell ref="P10:P11"/>
    <mergeCell ref="Q10:Q11"/>
    <mergeCell ref="R10:R11"/>
    <mergeCell ref="W1:W7"/>
    <mergeCell ref="Y9:Y11"/>
    <mergeCell ref="A10:A11"/>
    <mergeCell ref="B10:B11"/>
    <mergeCell ref="D10:E10"/>
    <mergeCell ref="F10:G10"/>
    <mergeCell ref="H10:I10"/>
    <mergeCell ref="J10:J11"/>
    <mergeCell ref="K10:K11"/>
    <mergeCell ref="L10:L11"/>
    <mergeCell ref="T10:T11"/>
    <mergeCell ref="A9:B9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Лист1</vt:lpstr>
      <vt:lpstr>Лист5</vt:lpstr>
      <vt:lpstr>Лист3</vt:lpstr>
    </vt:vector>
  </TitlesOfParts>
  <Company>Администрация МО "Заларинский район"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Zotova</cp:lastModifiedBy>
  <cp:lastPrinted>2011-11-15T05:14:04Z</cp:lastPrinted>
  <dcterms:created xsi:type="dcterms:W3CDTF">2009-11-05T08:03:11Z</dcterms:created>
  <dcterms:modified xsi:type="dcterms:W3CDTF">2011-11-15T05:14:22Z</dcterms:modified>
</cp:coreProperties>
</file>